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37DFA0A5-3D4C-43A4-9E7C-E96D88307BFF}" xr6:coauthVersionLast="45" xr6:coauthVersionMax="45" xr10:uidLastSave="{00000000-0000-0000-0000-000000000000}"/>
  <bookViews>
    <workbookView xWindow="-120" yWindow="-120" windowWidth="24240" windowHeight="13140" tabRatio="599" xr2:uid="{71DE6F37-F254-4D9D-B656-4CD7C8A1E5AE}"/>
  </bookViews>
  <sheets>
    <sheet name="variantti 1" sheetId="1" r:id="rId1"/>
    <sheet name="variantti 2" sheetId="2" r:id="rId2"/>
    <sheet name="variantti 3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" l="1"/>
  <c r="G13" i="1"/>
  <c r="M7" i="4"/>
  <c r="M9" i="4"/>
  <c r="M11" i="4"/>
  <c r="M13" i="4"/>
  <c r="M5" i="4"/>
  <c r="I13" i="4"/>
  <c r="I11" i="4"/>
  <c r="I9" i="4"/>
  <c r="I7" i="4"/>
  <c r="I5" i="4"/>
  <c r="G13" i="4"/>
  <c r="G11" i="4"/>
  <c r="G9" i="4"/>
  <c r="G7" i="4"/>
  <c r="G5" i="4"/>
  <c r="L13" i="4"/>
  <c r="I13" i="2" l="1"/>
  <c r="I11" i="2"/>
  <c r="I9" i="2"/>
  <c r="I7" i="2"/>
  <c r="I5" i="2"/>
  <c r="G13" i="2"/>
  <c r="G11" i="2"/>
  <c r="G9" i="2"/>
  <c r="G7" i="2"/>
  <c r="G5" i="2"/>
  <c r="I11" i="1" l="1"/>
  <c r="I9" i="1"/>
  <c r="I7" i="1"/>
  <c r="I5" i="1"/>
  <c r="G11" i="1"/>
  <c r="J11" i="1" s="1"/>
  <c r="G9" i="1"/>
  <c r="J9" i="1" s="1"/>
  <c r="G7" i="1"/>
  <c r="G5" i="1"/>
  <c r="J7" i="1" l="1"/>
  <c r="J5" i="1"/>
  <c r="J13" i="1"/>
  <c r="J13" i="2"/>
  <c r="K13" i="2" s="1"/>
  <c r="J13" i="4"/>
  <c r="K7" i="4"/>
  <c r="K9" i="4"/>
  <c r="K13" i="4"/>
  <c r="K11" i="4"/>
  <c r="K5" i="4"/>
  <c r="J5" i="4"/>
  <c r="J7" i="4"/>
  <c r="J9" i="4"/>
  <c r="J11" i="4"/>
  <c r="D15" i="4"/>
  <c r="L5" i="4" l="1"/>
  <c r="L9" i="4"/>
  <c r="L11" i="4"/>
  <c r="L7" i="4"/>
  <c r="J11" i="2"/>
  <c r="K11" i="2" s="1"/>
  <c r="J9" i="2"/>
  <c r="K9" i="2" s="1"/>
  <c r="J5" i="2"/>
  <c r="K5" i="2" s="1"/>
  <c r="J7" i="2"/>
  <c r="K7" i="2" s="1"/>
  <c r="D15" i="2"/>
  <c r="D15" i="1"/>
  <c r="K15" i="2" l="1"/>
  <c r="K16" i="2" l="1"/>
  <c r="J15" i="1"/>
  <c r="J16" i="1" s="1"/>
  <c r="D29" i="1" l="1"/>
  <c r="E29" i="1" s="1"/>
  <c r="J17" i="1"/>
  <c r="F29" i="1" s="1"/>
  <c r="G29" i="1" s="1"/>
  <c r="D27" i="2"/>
  <c r="E27" i="2" s="1"/>
  <c r="K17" i="2"/>
  <c r="H29" i="1" l="1"/>
  <c r="F27" i="2"/>
  <c r="G27" i="2" s="1"/>
  <c r="H27" i="2" s="1"/>
  <c r="M15" i="4"/>
  <c r="M16" i="4" s="1"/>
  <c r="M17" i="4" l="1"/>
  <c r="F28" i="4" s="1"/>
  <c r="G28" i="4" s="1"/>
  <c r="D28" i="4"/>
  <c r="E28" i="4" s="1"/>
  <c r="H28" i="4" l="1"/>
</calcChain>
</file>

<file path=xl/sharedStrings.xml><?xml version="1.0" encoding="utf-8"?>
<sst xmlns="http://schemas.openxmlformats.org/spreadsheetml/2006/main" count="136" uniqueCount="57">
  <si>
    <t>KPI</t>
  </si>
  <si>
    <t>KPI 1</t>
  </si>
  <si>
    <t>KPI 2</t>
  </si>
  <si>
    <t>KPI 3</t>
  </si>
  <si>
    <t>KPI 4</t>
  </si>
  <si>
    <t>KPI 5</t>
  </si>
  <si>
    <t>70-79%</t>
  </si>
  <si>
    <t>80-89%</t>
  </si>
  <si>
    <t>90 -100%</t>
  </si>
  <si>
    <t>Volume of sales</t>
  </si>
  <si>
    <t>New clients</t>
  </si>
  <si>
    <t>The number of orders</t>
  </si>
  <si>
    <t>Average order value</t>
  </si>
  <si>
    <t>Overdue accounts receivable</t>
  </si>
  <si>
    <t>Kpi- eli suorituskykymittareiden (key performance indicator) laskenta</t>
  </si>
  <si>
    <t>Kpi- eli suorituskykymittareiden (key performance indicator) laskenta (ottaen huomioon perustiedot)</t>
  </si>
  <si>
    <t>Nimi</t>
  </si>
  <si>
    <t>KPI paino</t>
  </si>
  <si>
    <t>KPI-INDEKSI</t>
  </si>
  <si>
    <t>Myynnin määrä</t>
  </si>
  <si>
    <t>Uudet asiakkaat</t>
  </si>
  <si>
    <t>Tilausten määrä</t>
  </si>
  <si>
    <t>Keskimääräinen tilauksen arvo</t>
  </si>
  <si>
    <t>Erääntyneet myyntisaamiset</t>
  </si>
  <si>
    <t>YHTEENSÄ</t>
  </si>
  <si>
    <t>Tehokkuussuhde</t>
  </si>
  <si>
    <t>Nykyiset tiedot (PERUSTA)</t>
  </si>
  <si>
    <t>Todelliset tiedot (TOSIASIA)</t>
  </si>
  <si>
    <t>TOSIASIA %</t>
  </si>
  <si>
    <t>% suunnitelman toteutumisesta</t>
  </si>
  <si>
    <t>% suunnitelman ylittäminen</t>
  </si>
  <si>
    <t>Huomautus:</t>
  </si>
  <si>
    <t>Suunnitellut tiedot (SUUNNITELMA)</t>
  </si>
  <si>
    <t>SUUNNITELMA %</t>
  </si>
  <si>
    <r>
      <t xml:space="preserve">KPI-INDEKSI </t>
    </r>
    <r>
      <rPr>
        <sz val="11"/>
        <color theme="1"/>
        <rFont val="Calibri"/>
        <family val="2"/>
      </rPr>
      <t>= KPI paino * TOSIASIA/ SUUNNITELMA</t>
    </r>
  </si>
  <si>
    <r>
      <t xml:space="preserve">KPI-INDEKSI  </t>
    </r>
    <r>
      <rPr>
        <sz val="11"/>
        <color theme="1"/>
        <rFont val="Calibri"/>
        <family val="2"/>
      </rPr>
      <t>= KPI paino * SUUNNITELMA/TOSIASIA</t>
    </r>
  </si>
  <si>
    <t>tai SUUNNITELMA % = Nykyiset tiedot / Suunnitellut tiedot</t>
  </si>
  <si>
    <t xml:space="preserve">ja TOSIASIA % = Nykyiset tiedot / Todelliset tiedot </t>
  </si>
  <si>
    <t>positiivisille indikaattoreille, joiden arvoja on nostettava</t>
  </si>
  <si>
    <t>negatiivisten indikaattorien osalta, joiden arvoja on alennettava</t>
  </si>
  <si>
    <t>Esimerkki maksun laskemisesta työntekijälle:</t>
  </si>
  <si>
    <t>Työntekijä</t>
  </si>
  <si>
    <t>Työntekijä 1</t>
  </si>
  <si>
    <t>Palkka (kiinteä summa)</t>
  </si>
  <si>
    <t xml:space="preserve"> Palkkiokerroin</t>
  </si>
  <si>
    <t>Palkkiokerroin</t>
  </si>
  <si>
    <t>Bonukset (riippuu suunnitelman ylittämisestä, %)</t>
  </si>
  <si>
    <t>Palkkio (riippuu suunnitelman toteutumisprosentista, %)</t>
  </si>
  <si>
    <t>Kokonaispalkka</t>
  </si>
  <si>
    <t>SUUNNITELMA-PERUSTA</t>
  </si>
  <si>
    <t>TOSIASIA-PERUSTA</t>
  </si>
  <si>
    <t>KPI-INDEKSI= KPI paino * TOSIASIA/ SUUNNITELMA</t>
  </si>
  <si>
    <t>KPI-INDEKSI  = KPI paino * SUUNNITELMA/TOSIASIA</t>
  </si>
  <si>
    <t xml:space="preserve">alle 70 %         </t>
  </si>
  <si>
    <t xml:space="preserve">alle  70 %         </t>
  </si>
  <si>
    <r>
      <t xml:space="preserve">KPI-INDEKSI </t>
    </r>
    <r>
      <rPr>
        <sz val="11"/>
        <color theme="1"/>
        <rFont val="Calibri"/>
        <family val="2"/>
      </rPr>
      <t>= KPI paino * (TOSIASIA - PERUSTA) / (SUUNNITELMA - PERUSTA)</t>
    </r>
  </si>
  <si>
    <t>% suunnitelman toteutumisesta = ((TOSIASIA - PERUSTA) / (SUUNNITELMA - PERUSTA)) × 100 %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</si>
</sst>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\ &quot;€&quot;"/>
    <numFmt numFmtId="166" formatCode="#,##0.0"/>
    <numFmt numFmtId="167" formatCode="0.00;[Red]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/>
      </patternFill>
    </fill>
  </fills>
  <borders count="1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0" fontId="7" fillId="0" borderId="0" xfId="0" applyFont="1"/>
    <xf numFmtId="9" fontId="5" fillId="0" borderId="0" xfId="0" applyNumberFormat="1" applyFont="1"/>
    <xf numFmtId="2" fontId="5" fillId="0" borderId="0" xfId="0" applyNumberFormat="1" applyFont="1"/>
    <xf numFmtId="9" fontId="7" fillId="0" borderId="0" xfId="0" applyNumberFormat="1" applyFont="1"/>
    <xf numFmtId="10" fontId="7" fillId="0" borderId="0" xfId="0" applyNumberFormat="1" applyFont="1"/>
    <xf numFmtId="9" fontId="5" fillId="2" borderId="1" xfId="0" applyNumberFormat="1" applyFont="1" applyFill="1" applyBorder="1"/>
    <xf numFmtId="9" fontId="5" fillId="0" borderId="1" xfId="0" applyNumberFormat="1" applyFont="1" applyBorder="1"/>
    <xf numFmtId="2" fontId="5" fillId="0" borderId="1" xfId="0" applyNumberFormat="1" applyFont="1" applyBorder="1"/>
    <xf numFmtId="0" fontId="5" fillId="0" borderId="0" xfId="0" applyFont="1" applyAlignment="1"/>
    <xf numFmtId="0" fontId="5" fillId="0" borderId="1" xfId="0" applyFont="1" applyBorder="1" applyAlignment="1"/>
    <xf numFmtId="2" fontId="5" fillId="2" borderId="0" xfId="0" applyNumberFormat="1" applyFont="1" applyFill="1" applyBorder="1"/>
    <xf numFmtId="2" fontId="5" fillId="0" borderId="0" xfId="0" applyNumberFormat="1" applyFont="1" applyBorder="1"/>
    <xf numFmtId="2" fontId="7" fillId="0" borderId="0" xfId="0" applyNumberFormat="1" applyFont="1"/>
    <xf numFmtId="0" fontId="9" fillId="0" borderId="0" xfId="0" applyFont="1"/>
    <xf numFmtId="0" fontId="2" fillId="3" borderId="0" xfId="0" applyFont="1" applyFill="1" applyBorder="1"/>
    <xf numFmtId="0" fontId="0" fillId="3" borderId="0" xfId="0" applyFill="1" applyBorder="1"/>
    <xf numFmtId="9" fontId="5" fillId="0" borderId="0" xfId="0" applyNumberFormat="1" applyFont="1" applyAlignment="1"/>
    <xf numFmtId="165" fontId="0" fillId="0" borderId="0" xfId="0" applyNumberFormat="1"/>
    <xf numFmtId="2" fontId="0" fillId="0" borderId="0" xfId="0" applyNumberFormat="1"/>
    <xf numFmtId="164" fontId="7" fillId="0" borderId="0" xfId="0" applyNumberFormat="1" applyFont="1"/>
    <xf numFmtId="49" fontId="7" fillId="0" borderId="0" xfId="0" applyNumberFormat="1" applyFont="1"/>
    <xf numFmtId="9" fontId="7" fillId="0" borderId="0" xfId="0" applyNumberFormat="1" applyFont="1" applyAlignment="1"/>
    <xf numFmtId="0" fontId="3" fillId="0" borderId="0" xfId="0" applyFont="1"/>
    <xf numFmtId="10" fontId="0" fillId="0" borderId="0" xfId="0" applyNumberFormat="1"/>
    <xf numFmtId="166" fontId="0" fillId="0" borderId="0" xfId="0" applyNumberFormat="1"/>
    <xf numFmtId="1" fontId="5" fillId="0" borderId="0" xfId="0" applyNumberFormat="1" applyFont="1"/>
    <xf numFmtId="167" fontId="5" fillId="0" borderId="0" xfId="0" applyNumberFormat="1" applyFont="1"/>
    <xf numFmtId="167" fontId="5" fillId="2" borderId="0" xfId="0" applyNumberFormat="1" applyFont="1" applyFill="1" applyBorder="1"/>
    <xf numFmtId="0" fontId="0" fillId="3" borderId="0" xfId="0" applyFill="1"/>
    <xf numFmtId="0" fontId="5" fillId="0" borderId="0" xfId="0" applyFont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" fillId="4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5" fillId="2" borderId="1" xfId="0" applyFont="1" applyFill="1" applyBorder="1" applyAlignment="1" applyProtection="1">
      <protection locked="0"/>
    </xf>
    <xf numFmtId="2" fontId="5" fillId="0" borderId="0" xfId="0" applyNumberFormat="1" applyFont="1" applyProtection="1">
      <protection locked="0"/>
    </xf>
    <xf numFmtId="0" fontId="5" fillId="4" borderId="0" xfId="0" applyFont="1" applyFill="1" applyAlignment="1"/>
    <xf numFmtId="0" fontId="6" fillId="5" borderId="1" xfId="0" applyFont="1" applyFill="1" applyBorder="1" applyAlignment="1"/>
    <xf numFmtId="0" fontId="0" fillId="4" borderId="0" xfId="0" applyFill="1" applyAlignment="1">
      <alignment vertical="top" wrapText="1"/>
    </xf>
    <xf numFmtId="0" fontId="0" fillId="4" borderId="0" xfId="0" applyFill="1" applyAlignment="1">
      <alignment vertical="top"/>
    </xf>
    <xf numFmtId="0" fontId="0" fillId="0" borderId="0" xfId="0" applyFill="1"/>
    <xf numFmtId="0" fontId="0" fillId="0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10" xfId="0" applyFont="1" applyFill="1" applyBorder="1"/>
    <xf numFmtId="0" fontId="0" fillId="3" borderId="11" xfId="0" applyFill="1" applyBorder="1"/>
    <xf numFmtId="0" fontId="0" fillId="3" borderId="12" xfId="0" applyFill="1" applyBorder="1"/>
  </cellXfs>
  <cellStyles count="1">
    <cellStyle name="Normal" xfId="0" builtinId="0"/>
  </cellStyles>
  <dxfs count="63">
    <dxf>
      <font>
        <b/>
      </font>
    </dxf>
    <dxf>
      <font>
        <b/>
      </font>
    </dxf>
    <dxf>
      <font>
        <b/>
      </font>
    </dxf>
    <dxf>
      <numFmt numFmtId="165" formatCode="#,##0.00\ &quot;€&quot;"/>
    </dxf>
    <dxf>
      <numFmt numFmtId="165" formatCode="#,##0.00\ &quot;€&quot;"/>
    </dxf>
    <dxf>
      <numFmt numFmtId="14" formatCode="0.00\ %"/>
    </dxf>
    <dxf>
      <numFmt numFmtId="165" formatCode="#,##0.00\ &quot;€&quot;"/>
    </dxf>
    <dxf>
      <numFmt numFmtId="166" formatCode="#,##0.0"/>
    </dxf>
    <dxf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.000"/>
    </dxf>
    <dxf>
      <numFmt numFmtId="13" formatCode="0\ %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numFmt numFmtId="2" formatCode="0.00"/>
    </dxf>
    <dxf>
      <numFmt numFmtId="2" formatCode="0.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numFmt numFmtId="165" formatCode="#,##0.00\ &quot;€&quot;"/>
    </dxf>
    <dxf>
      <numFmt numFmtId="165" formatCode="#,##0.00\ &quot;€&quot;"/>
    </dxf>
    <dxf>
      <numFmt numFmtId="14" formatCode="0.00\ %"/>
    </dxf>
    <dxf>
      <numFmt numFmtId="165" formatCode="#,##0.00\ &quot;€&quot;"/>
    </dxf>
    <dxf>
      <numFmt numFmtId="166" formatCode="#,##0.0"/>
    </dxf>
    <dxf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.000"/>
    </dxf>
    <dxf>
      <numFmt numFmtId="13" formatCode="0\ %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numFmt numFmtId="2" formatCode="0.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protection locked="0" hidden="0"/>
    </dxf>
    <dxf>
      <font>
        <b/>
      </font>
      <protection locked="0" hidden="0"/>
    </dxf>
    <dxf>
      <font>
        <b/>
      </font>
      <protection locked="0" hidden="0"/>
    </dxf>
    <dxf>
      <numFmt numFmtId="165" formatCode="#,##0.00\ &quot;€&quot;"/>
    </dxf>
    <dxf>
      <numFmt numFmtId="165" formatCode="#,##0.00\ &quot;€&quot;"/>
    </dxf>
    <dxf>
      <numFmt numFmtId="14" formatCode="0.00\ %"/>
    </dxf>
    <dxf>
      <numFmt numFmtId="165" formatCode="#,##0.00\ &quot;€&quot;"/>
    </dxf>
    <dxf>
      <numFmt numFmtId="166" formatCode="#,##0.0"/>
    </dxf>
    <dxf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numFmt numFmtId="2" formatCode="0.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>
          <bgColor rgb="FFC00000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11</xdr:row>
      <xdr:rowOff>71859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0B5F20-CFD2-459C-98B3-0991FAD4F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046514" y="1237014"/>
          <a:ext cx="269123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11</xdr:row>
      <xdr:rowOff>71859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5CD095-7FBD-4E81-A2E6-AE45F1E37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046514" y="1237014"/>
          <a:ext cx="2691234" cy="59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11</xdr:row>
      <xdr:rowOff>71859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D0E347-53DA-4E7F-8F44-40951A33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046514" y="1237014"/>
          <a:ext cx="2691234" cy="5982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A6858E-0F5C-46EA-BEE2-230A670E0B03}" name="Table1" displayName="Table1" ref="B4:J17" totalsRowShown="0" headerRowDxfId="62" dataDxfId="61">
  <autoFilter ref="B4:J17" xr:uid="{C7965637-2E50-4583-BFF8-1CC060342A60}"/>
  <tableColumns count="9">
    <tableColumn id="1" xr3:uid="{B1D761E6-5416-41A8-88B0-2ACA16BCFE2A}" name="KPI" dataDxfId="60"/>
    <tableColumn id="8" xr3:uid="{FB972F4B-52EF-420D-9AAC-5B1942FBBE3A}" name="Nimi" dataDxfId="59"/>
    <tableColumn id="2" xr3:uid="{952EA6A5-9D95-4E09-876F-9882D8296409}" name="KPI paino" dataDxfId="58"/>
    <tableColumn id="10" xr3:uid="{A71F3E3E-8252-438C-87A6-59F7CB40E465}" name="Nykyiset tiedot (PERUSTA)" dataDxfId="57"/>
    <tableColumn id="9" xr3:uid="{FFF96E44-2BDF-4474-B800-EAC1E341FF9D}" name="Suunnitellut tiedot (SUUNNITELMA)" dataDxfId="56"/>
    <tableColumn id="3" xr3:uid="{A6C92AC6-C64F-4776-9060-DB54B7F97F4C}" name="SUUNNITELMA %" dataDxfId="55"/>
    <tableColumn id="11" xr3:uid="{0FE92FD3-EDEA-4149-ACB6-9F269B8EDEF1}" name="Todelliset tiedot (TOSIASIA)" dataDxfId="54"/>
    <tableColumn id="4" xr3:uid="{B3D5375C-2B4B-4AFE-AC91-6494343DEAA6}" name="TOSIASIA %" dataDxfId="53"/>
    <tableColumn id="5" xr3:uid="{93C8C0C7-106B-4656-AF88-3C751A1E8380}" name="KPI-INDEKSI" dataDxfId="52">
      <calculatedColumnFormula>Table1[[#This Row],[KPI paino]]*Table1[[#This Row],[TOSIASIA %]]/Table1[[#This Row],[SUUNNITELMA %]]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670FC-C85A-4004-92B0-1E04B3BCEA69}" name="Table4" displayName="Table4" ref="B26:H30" totalsRowShown="0" headerRowDxfId="51">
  <autoFilter ref="B26:H30" xr:uid="{10F3DEEA-A9E3-4E47-96F6-3B1622A979E4}"/>
  <tableColumns count="7">
    <tableColumn id="1" xr3:uid="{AF7E882F-5296-4EA9-84F5-66EF4266A2EF}" name="Työntekijä"/>
    <tableColumn id="2" xr3:uid="{044F4E65-85FA-414D-8078-ABA21E0BB8FB}" name="Palkka (kiinteä summa)"/>
    <tableColumn id="7" xr3:uid="{B95D5593-916B-4312-AD42-F41877E1FC24}" name=" Palkkiokerroin" dataDxfId="50">
      <calculatedColumnFormula>IF(J14&gt;90%,1,IF(J14&gt;80%,0.9,IF(J14&gt;70%,0.8,IF(J14=70%,0.8,0))))</calculatedColumnFormula>
    </tableColumn>
    <tableColumn id="3" xr3:uid="{1B07EB22-A0A9-43F3-B494-14AE4D299FE0}" name="Palkkio (riippuu suunnitelman toteutumisprosentista, %)" dataDxfId="49">
      <calculatedColumnFormula>Table4[[#This Row],[Palkka (kiinteä summa)]]*Table4[[#This Row],[ Palkkiokerroin]]</calculatedColumnFormula>
    </tableColumn>
    <tableColumn id="10" xr3:uid="{F4C4F5F8-DB4D-4F9B-87A3-938823DF649C}" name="% suunnitelman ylittäminen" dataDxfId="48">
      <calculatedColumnFormula>IF(J15&gt;0%,J15,0)</calculatedColumnFormula>
    </tableColumn>
    <tableColumn id="4" xr3:uid="{85DBFB43-44CA-4B70-8435-33EDB53DF977}" name="Bonukset (riippuu suunnitelman ylittämisestä, %)" dataDxfId="47">
      <calculatedColumnFormula>Table4[[#This Row],[Palkka (kiinteä summa)]]*Table4[[#This Row],[% suunnitelman ylittäminen]]</calculatedColumnFormula>
    </tableColumn>
    <tableColumn id="6" xr3:uid="{9F8DB98A-1441-49CD-B41F-4E3224505E9B}" name="Kokonaispalkka" dataDxfId="46">
      <calculatedColumnFormula>Table4[[#This Row],[Palkka (kiinteä summa)]]+Table4[[#This Row],[Palkkio (riippuu suunnitelman toteutumisprosentista, %)]]+Table4[[#This Row],[Bonukset (riippuu suunnitelman ylittämisestä, %)]]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83293F-E86E-46B2-BD6F-49A4832800B8}" name="Table5" displayName="Table5" ref="C32:D36" totalsRowShown="0" dataDxfId="45">
  <autoFilter ref="C32:D36" xr:uid="{DA9A3880-415B-4CAA-A572-D99100803087}"/>
  <tableColumns count="2">
    <tableColumn id="1" xr3:uid="{3535C4E1-427A-4B39-8C6D-89E33A25E731}" name="KPI-INDEKSI" dataDxfId="44"/>
    <tableColumn id="2" xr3:uid="{61817B04-5CB9-4231-ADB8-2D5281E9EDC2}" name="Palkkiokerroin" dataDxfId="4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C6E8616-3847-4AF6-A6BE-0173AC10CD2A}" name="Table17" displayName="Table17" ref="B4:K17" totalsRowShown="0" headerRowDxfId="42" dataDxfId="41">
  <autoFilter ref="B4:K17" xr:uid="{C7965637-2E50-4583-BFF8-1CC060342A60}"/>
  <tableColumns count="10">
    <tableColumn id="1" xr3:uid="{0850085C-9734-434F-92BE-0100CC5F6638}" name="KPI" dataDxfId="40"/>
    <tableColumn id="8" xr3:uid="{2697A313-72C3-48D2-A69A-09C2C009DE24}" name="Nimi" dataDxfId="39"/>
    <tableColumn id="2" xr3:uid="{9E24D137-3A77-473B-9F6A-FA4910BCD890}" name="KPI paino" dataDxfId="38"/>
    <tableColumn id="10" xr3:uid="{F35874EA-E13B-44E4-9981-E84F801734BD}" name="Nykyiset tiedot (PERUSTA)" dataDxfId="37"/>
    <tableColumn id="9" xr3:uid="{507B6DA1-1AF6-422C-BB28-8154AEE701BD}" name="Suunnitellut tiedot (SUUNNITELMA)" dataDxfId="36"/>
    <tableColumn id="3" xr3:uid="{19A3ECD4-A45F-4F91-947C-092DC6F48428}" name="SUUNNITELMA %" dataDxfId="35"/>
    <tableColumn id="11" xr3:uid="{A437FFD7-2F5E-471F-8A84-7D37950967F0}" name="Todelliset tiedot (TOSIASIA)" dataDxfId="34"/>
    <tableColumn id="4" xr3:uid="{BC4BB79E-3E43-4626-9C45-C39E397A4DD5}" name="TOSIASIA %" dataDxfId="33"/>
    <tableColumn id="13" xr3:uid="{4DF074DD-F8DB-4CF3-B18B-83F82752C7EB}" name="% suunnitelman toteutumisesta" dataDxfId="32">
      <calculatedColumnFormula>Table17[[#This Row],[TOSIASIA %]]/Table17[[#This Row],[SUUNNITELMA %]]</calculatedColumnFormula>
    </tableColumn>
    <tableColumn id="5" xr3:uid="{7795D645-5F06-4CF2-89E1-AA67278BE900}" name="KPI-INDEKSI" dataDxfId="31">
      <calculatedColumnFormula>Table17[[#This Row],[KPI paino]]*Table17[[#This Row],[TOSIASIA %]]/Table17[[#This Row],[SUUNNITELMA %]]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6F6BED0-6725-4FAB-8CD4-72396B6EB673}" name="Table48" displayName="Table48" ref="B24:H28" totalsRowShown="0" headerRowDxfId="30">
  <autoFilter ref="B24:H28" xr:uid="{10F3DEEA-A9E3-4E47-96F6-3B1622A979E4}"/>
  <tableColumns count="7">
    <tableColumn id="1" xr3:uid="{52F42233-EB14-4F84-9053-7010A086252C}" name="Työntekijä"/>
    <tableColumn id="2" xr3:uid="{1C913C79-95EF-4EF9-A885-D64CDD5B3AB0}" name="Palkka (kiinteä summa)"/>
    <tableColumn id="9" xr3:uid="{92C3DBE1-02AA-42CA-A7A6-59215B0364DA}" name="Palkkiokerroin" dataDxfId="29">
      <calculatedColumnFormula>IF(K14&gt;90%,1,IF(K14&gt;80%,0.9,IF(K14&gt;70%,0.8,IF(K14=70%,0.8,0))))</calculatedColumnFormula>
    </tableColumn>
    <tableColumn id="3" xr3:uid="{7C30D2E0-99B5-49C9-A680-024E55E35545}" name="Palkkio (riippuu suunnitelman toteutumisprosentista, %)" dataDxfId="28">
      <calculatedColumnFormula>Table48[[#This Row],[Palkka (kiinteä summa)]]*Table48[[#This Row],[Palkkiokerroin]]</calculatedColumnFormula>
    </tableColumn>
    <tableColumn id="7" xr3:uid="{7CD32EB8-8A0B-4596-9388-2303C93F7AC5}" name="% suunnitelman ylittäminen" dataDxfId="27">
      <calculatedColumnFormula>IF(K15&gt;0%,K15,0)</calculatedColumnFormula>
    </tableColumn>
    <tableColumn id="4" xr3:uid="{20D3D369-78FD-4504-8F92-6E4F78268D72}" name="Bonukset (riippuu suunnitelman ylittämisestä, %)" dataDxfId="26">
      <calculatedColumnFormula>Table48[[#This Row],[Palkka (kiinteä summa)]]*Table48[[#This Row],[% suunnitelman ylittäminen]]</calculatedColumnFormula>
    </tableColumn>
    <tableColumn id="6" xr3:uid="{AFAED0B5-252A-42BA-AE02-49A8FBEB1459}" name="Kokonaispalkka" dataDxfId="25">
      <calculatedColumnFormula>Table48[[#This Row],[Palkka (kiinteä summa)]]+Table48[[#This Row],[Palkkio (riippuu suunnitelman toteutumisprosentista, %)]]+Table48[[#This Row],[Bonukset (riippuu suunnitelman ylittämisestä, %)]]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17F1715-E7AA-4FDF-88D1-4FD6D1E6D47F}" name="Table59" displayName="Table59" ref="C30:D34" totalsRowShown="0" dataDxfId="24">
  <autoFilter ref="C30:D34" xr:uid="{DA9A3880-415B-4CAA-A572-D99100803087}"/>
  <tableColumns count="2">
    <tableColumn id="1" xr3:uid="{982518A6-A47D-461F-BCD0-CC86BBC234A4}" name="KPI-INDEKSI" dataDxfId="23"/>
    <tableColumn id="2" xr3:uid="{86DC5298-1EF8-4EA2-8986-CAB6B9333B49}" name="Palkkiokerroin" dataDxfId="2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71DA632-2999-4DFA-99AF-0BB27137CF51}" name="Table1710" displayName="Table1710" ref="B4:M17" totalsRowShown="0" headerRowDxfId="21" dataDxfId="20">
  <autoFilter ref="B4:M17" xr:uid="{C7965637-2E50-4583-BFF8-1CC060342A60}"/>
  <tableColumns count="12">
    <tableColumn id="1" xr3:uid="{3F855D47-1DE6-4E8A-9D2F-16A565CA7976}" name="KPI" dataDxfId="19"/>
    <tableColumn id="8" xr3:uid="{5F6067B8-F6B4-4698-B710-2F15ADF3C4C3}" name="Nimi" dataDxfId="18"/>
    <tableColumn id="2" xr3:uid="{30B5D5D9-3AEB-4577-9A18-2B9C0A8141DA}" name="KPI paino" dataDxfId="17"/>
    <tableColumn id="10" xr3:uid="{7A5EF324-1A47-4E5D-905B-C94BB0771B94}" name="Nykyiset tiedot (PERUSTA)" dataDxfId="16"/>
    <tableColumn id="9" xr3:uid="{84ABB0B3-88D6-4F39-BA2F-FCA09681B4A5}" name="Suunnitellut tiedot (SUUNNITELMA)" dataDxfId="15"/>
    <tableColumn id="3" xr3:uid="{F1421812-2460-459F-A046-50FD15527309}" name="SUUNNITELMA %" dataDxfId="14"/>
    <tableColumn id="11" xr3:uid="{57155F43-DE43-4C93-AD16-8487F72BAA42}" name="Todelliset tiedot (TOSIASIA)" dataDxfId="13"/>
    <tableColumn id="15" xr3:uid="{B368D1E0-4546-4F01-96D4-FFD8B779D7D6}" name="TOSIASIA %"/>
    <tableColumn id="14" xr3:uid="{4C5D7EE2-761E-4394-B27A-EF410B569540}" name="SUUNNITELMA-PERUSTA" dataDxfId="12">
      <calculatedColumnFormula>Table1710[[#This Row],[Suunnitellut tiedot (SUUNNITELMA)]]-Table1710[[#This Row],[Nykyiset tiedot (PERUSTA)]]</calculatedColumnFormula>
    </tableColumn>
    <tableColumn id="4" xr3:uid="{3385DEC6-9202-4630-BB6A-BDC4D4CFA986}" name="TOSIASIA-PERUSTA" dataDxfId="11"/>
    <tableColumn id="13" xr3:uid="{E8938D17-62AC-4C6F-A2E5-C19D362FDCF9}" name="% suunnitelman toteutumisesta" dataDxfId="10">
      <calculatedColumnFormula>Table1710[[#This Row],[TOSIASIA-PERUSTA]]/Table1710[[#This Row],[SUUNNITELMA %]]</calculatedColumnFormula>
    </tableColumn>
    <tableColumn id="5" xr3:uid="{EB62514C-D857-484D-81FF-4670289E1A62}" name="KPI-INDEKSI" dataDxfId="9">
      <calculatedColumnFormula>Table1710[[#This Row],[KPI paino]]*Table1710[[#This Row],[TOSIASIA-PERUSTA]]/Table1710[[#This Row],[SUUNNITELMA %]]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CEE4AE1-3706-4D40-BC72-0083F63FC975}" name="Table4811" displayName="Table4811" ref="B25:H29" totalsRowShown="0" headerRowDxfId="8">
  <autoFilter ref="B25:H29" xr:uid="{10F3DEEA-A9E3-4E47-96F6-3B1622A979E4}"/>
  <tableColumns count="7">
    <tableColumn id="1" xr3:uid="{9F4600F3-BD84-44EC-9B40-4431518609F9}" name="Työntekijä"/>
    <tableColumn id="2" xr3:uid="{59BA5B46-FDD5-4F3A-9155-B4BB0BF3D5B6}" name="Palkka (kiinteä summa)"/>
    <tableColumn id="9" xr3:uid="{B8036E36-612B-4EA6-9EE3-7F59E9154AC7}" name="Palkkiokerroin" dataDxfId="7">
      <calculatedColumnFormula>IF(M14&gt;90%,1,IF(M14&gt;80%,0.9,IF(M14&gt;70%,0.8,IF(M14=70%,0.8,0))))</calculatedColumnFormula>
    </tableColumn>
    <tableColumn id="3" xr3:uid="{3226FE3B-38D8-4831-80DF-A5D1CEC0360A}" name="Palkkio (riippuu suunnitelman toteutumisprosentista, %)" dataDxfId="6">
      <calculatedColumnFormula>Table4811[[#This Row],[Palkka (kiinteä summa)]]*Table4811[[#This Row],[Palkkiokerroin]]</calculatedColumnFormula>
    </tableColumn>
    <tableColumn id="7" xr3:uid="{A8C23F08-FEBB-468C-A534-A34DEE6DBC22}" name="% suunnitelman ylittäminen" dataDxfId="5">
      <calculatedColumnFormula>IF(M15&gt;0%,M15,0)</calculatedColumnFormula>
    </tableColumn>
    <tableColumn id="4" xr3:uid="{E5F39B9D-A939-4296-B574-4C0BFFA66B18}" name="Bonukset (riippuu suunnitelman ylittämisestä, %)" dataDxfId="4">
      <calculatedColumnFormula>Table4811[[#This Row],[Palkka (kiinteä summa)]]*Table4811[[#This Row],[% suunnitelman ylittäminen]]</calculatedColumnFormula>
    </tableColumn>
    <tableColumn id="6" xr3:uid="{6F063684-F210-4C6A-9152-488E8E5CC8B1}" name="Kokonaispalkka" dataDxfId="3">
      <calculatedColumnFormula>Table4811[[#This Row],[Palkka (kiinteä summa)]]+Table4811[[#This Row],[Palkkio (riippuu suunnitelman toteutumisprosentista, %)]]+Table4811[[#This Row],[Bonukset (riippuu suunnitelman ylittämisestä, %)]]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5F9B836-7AE9-4370-A388-25F302DA9F6F}" name="Table5912" displayName="Table5912" ref="C31:D35" totalsRowShown="0" dataDxfId="2">
  <autoFilter ref="C31:D35" xr:uid="{DA9A3880-415B-4CAA-A572-D99100803087}"/>
  <tableColumns count="2">
    <tableColumn id="1" xr3:uid="{4F434ED0-5BDE-4677-9243-E793D4C0D38D}" name="KPI-INDEKSI" dataDxfId="1"/>
    <tableColumn id="2" xr3:uid="{CA241701-FF8A-4297-BDC2-E5371406C98E}" name="Palkkiokerroi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F7A64-BB2E-4E3C-AD5F-9390A8509946}">
  <dimension ref="B1:J37"/>
  <sheetViews>
    <sheetView tabSelected="1" workbookViewId="0">
      <selection activeCell="F44" sqref="F44"/>
    </sheetView>
  </sheetViews>
  <sheetFormatPr defaultRowHeight="15" x14ac:dyDescent="0.25"/>
  <cols>
    <col min="2" max="2" width="13.85546875" customWidth="1"/>
    <col min="3" max="3" width="54.28515625" customWidth="1"/>
    <col min="4" max="4" width="19.42578125" customWidth="1"/>
    <col min="5" max="5" width="34.140625" customWidth="1"/>
    <col min="6" max="6" width="42.42578125" customWidth="1"/>
    <col min="7" max="7" width="31.140625" customWidth="1"/>
    <col min="8" max="8" width="35.28515625" customWidth="1"/>
    <col min="9" max="9" width="16.85546875" customWidth="1"/>
    <col min="10" max="10" width="17.42578125" customWidth="1"/>
    <col min="11" max="11" width="27.140625" customWidth="1"/>
  </cols>
  <sheetData>
    <row r="1" spans="2:10" ht="26.25" x14ac:dyDescent="0.4">
      <c r="C1" s="15" t="s">
        <v>14</v>
      </c>
    </row>
    <row r="4" spans="2:10" ht="18.75" x14ac:dyDescent="0.3">
      <c r="B4" s="40" t="s">
        <v>0</v>
      </c>
      <c r="C4" s="40" t="s">
        <v>16</v>
      </c>
      <c r="D4" s="40" t="s">
        <v>17</v>
      </c>
      <c r="E4" s="41" t="s">
        <v>26</v>
      </c>
      <c r="F4" s="41" t="s">
        <v>32</v>
      </c>
      <c r="G4" s="40" t="s">
        <v>33</v>
      </c>
      <c r="H4" s="40" t="s">
        <v>27</v>
      </c>
      <c r="I4" s="40" t="s">
        <v>28</v>
      </c>
      <c r="J4" s="40" t="s">
        <v>18</v>
      </c>
    </row>
    <row r="5" spans="2:10" ht="18.75" x14ac:dyDescent="0.3">
      <c r="B5" s="1" t="s">
        <v>1</v>
      </c>
      <c r="C5" s="38" t="s">
        <v>19</v>
      </c>
      <c r="D5" s="31">
        <v>0.25</v>
      </c>
      <c r="E5" s="32">
        <v>50000</v>
      </c>
      <c r="F5" s="32">
        <v>60000</v>
      </c>
      <c r="G5" s="7">
        <f>Table1[[#This Row],[Suunnitellut tiedot (SUUNNITELMA)]]/Table1[[#This Row],[Nykyiset tiedot (PERUSTA)]]</f>
        <v>1.2</v>
      </c>
      <c r="H5" s="33">
        <v>63000</v>
      </c>
      <c r="I5" s="3">
        <f>Table1[[#This Row],[Todelliset tiedot (TOSIASIA)]]/Table1[[#This Row],[Nykyiset tiedot (PERUSTA)]]</f>
        <v>1.26</v>
      </c>
      <c r="J5" s="4">
        <f>IF(Table1[[#This Row],[SUUNNITELMA %]]&gt;Table1[[#This Row],[TOSIASIA %]],0,Table1[[#This Row],[KPI paino]]*Table1[[#This Row],[TOSIASIA %]]/Table1[[#This Row],[SUUNNITELMA %]])</f>
        <v>0.26250000000000001</v>
      </c>
    </row>
    <row r="6" spans="2:10" ht="18.75" x14ac:dyDescent="0.3">
      <c r="B6" s="1"/>
      <c r="C6" s="11"/>
      <c r="D6" s="1"/>
      <c r="E6" s="9"/>
      <c r="F6" s="9"/>
      <c r="G6" s="8"/>
      <c r="H6" s="13"/>
      <c r="I6" s="3"/>
      <c r="J6" s="4"/>
    </row>
    <row r="7" spans="2:10" ht="18.75" x14ac:dyDescent="0.3">
      <c r="B7" s="1" t="s">
        <v>2</v>
      </c>
      <c r="C7" s="38" t="s">
        <v>20</v>
      </c>
      <c r="D7" s="31">
        <v>0.25</v>
      </c>
      <c r="E7" s="32">
        <v>500</v>
      </c>
      <c r="F7" s="32">
        <v>600</v>
      </c>
      <c r="G7" s="7">
        <f>Table1[[#This Row],[Suunnitellut tiedot (SUUNNITELMA)]]/Table1[[#This Row],[Nykyiset tiedot (PERUSTA)]]</f>
        <v>1.2</v>
      </c>
      <c r="H7" s="33">
        <v>650</v>
      </c>
      <c r="I7" s="3">
        <f>Table1[[#This Row],[Todelliset tiedot (TOSIASIA)]]/Table1[[#This Row],[Nykyiset tiedot (PERUSTA)]]</f>
        <v>1.3</v>
      </c>
      <c r="J7" s="4">
        <f>IF(Table1[[#This Row],[SUUNNITELMA %]]&gt;Table1[[#This Row],[TOSIASIA %]],0,Table1[[#This Row],[KPI paino]]*Table1[[#This Row],[TOSIASIA %]]/Table1[[#This Row],[SUUNNITELMA %]])</f>
        <v>0.27083333333333337</v>
      </c>
    </row>
    <row r="8" spans="2:10" ht="18.75" x14ac:dyDescent="0.3">
      <c r="B8" s="1"/>
      <c r="C8" s="11"/>
      <c r="D8" s="1"/>
      <c r="E8" s="9"/>
      <c r="F8" s="9"/>
      <c r="G8" s="8"/>
      <c r="H8" s="13"/>
      <c r="I8" s="3"/>
      <c r="J8" s="4"/>
    </row>
    <row r="9" spans="2:10" ht="18.75" x14ac:dyDescent="0.3">
      <c r="B9" s="1" t="s">
        <v>3</v>
      </c>
      <c r="C9" s="38" t="s">
        <v>21</v>
      </c>
      <c r="D9" s="31">
        <v>0.2</v>
      </c>
      <c r="E9" s="32">
        <v>1500</v>
      </c>
      <c r="F9" s="32">
        <v>1800</v>
      </c>
      <c r="G9" s="7">
        <f>Table1[[#This Row],[Suunnitellut tiedot (SUUNNITELMA)]]/Table1[[#This Row],[Nykyiset tiedot (PERUSTA)]]</f>
        <v>1.2</v>
      </c>
      <c r="H9" s="33">
        <v>1800</v>
      </c>
      <c r="I9" s="3">
        <f>Table1[[#This Row],[Todelliset tiedot (TOSIASIA)]]/Table1[[#This Row],[Nykyiset tiedot (PERUSTA)]]</f>
        <v>1.2</v>
      </c>
      <c r="J9" s="4">
        <f>IF(Table1[[#This Row],[SUUNNITELMA %]]&gt;Table1[[#This Row],[TOSIASIA %]],0,Table1[[#This Row],[KPI paino]]*Table1[[#This Row],[TOSIASIA %]]/Table1[[#This Row],[SUUNNITELMA %]])</f>
        <v>0.2</v>
      </c>
    </row>
    <row r="10" spans="2:10" ht="18.75" x14ac:dyDescent="0.3">
      <c r="B10" s="1"/>
      <c r="C10" s="11"/>
      <c r="D10" s="1"/>
      <c r="E10" s="9"/>
      <c r="F10" s="9"/>
      <c r="G10" s="8"/>
      <c r="H10" s="13"/>
      <c r="I10" s="3"/>
      <c r="J10" s="4"/>
    </row>
    <row r="11" spans="2:10" ht="18.75" x14ac:dyDescent="0.3">
      <c r="B11" s="1" t="s">
        <v>4</v>
      </c>
      <c r="C11" s="38" t="s">
        <v>22</v>
      </c>
      <c r="D11" s="31">
        <v>0.15</v>
      </c>
      <c r="E11" s="32">
        <v>33</v>
      </c>
      <c r="F11" s="32">
        <v>37</v>
      </c>
      <c r="G11" s="7">
        <f>Table1[[#This Row],[Suunnitellut tiedot (SUUNNITELMA)]]/Table1[[#This Row],[Nykyiset tiedot (PERUSTA)]]</f>
        <v>1.1212121212121211</v>
      </c>
      <c r="H11" s="33">
        <v>38</v>
      </c>
      <c r="I11" s="3">
        <f>Table1[[#This Row],[Todelliset tiedot (TOSIASIA)]]/Table1[[#This Row],[Nykyiset tiedot (PERUSTA)]]</f>
        <v>1.1515151515151516</v>
      </c>
      <c r="J11" s="4">
        <f>IF(Table1[[#This Row],[SUUNNITELMA %]]&gt;Table1[[#This Row],[TOSIASIA %]],0,Table1[[#This Row],[KPI paino]]*Table1[[#This Row],[TOSIASIA %]]/Table1[[#This Row],[SUUNNITELMA %]])</f>
        <v>0.15405405405405406</v>
      </c>
    </row>
    <row r="12" spans="2:10" ht="18.75" x14ac:dyDescent="0.3">
      <c r="B12" s="1"/>
      <c r="C12" s="11"/>
      <c r="D12" s="1"/>
      <c r="E12" s="9"/>
      <c r="F12" s="9"/>
      <c r="G12" s="8"/>
      <c r="H12" s="13"/>
      <c r="I12" s="3"/>
      <c r="J12" s="4"/>
    </row>
    <row r="13" spans="2:10" ht="18.75" x14ac:dyDescent="0.3">
      <c r="B13" s="1" t="s">
        <v>5</v>
      </c>
      <c r="C13" s="38" t="s">
        <v>23</v>
      </c>
      <c r="D13" s="31">
        <v>0.15</v>
      </c>
      <c r="E13" s="32">
        <v>2300</v>
      </c>
      <c r="F13" s="32">
        <v>2200</v>
      </c>
      <c r="G13" s="7">
        <f>Table1[[#This Row],[Nykyiset tiedot (PERUSTA)]]/Table1[[#This Row],[Suunnitellut tiedot (SUUNNITELMA)]]</f>
        <v>1.0454545454545454</v>
      </c>
      <c r="H13" s="33">
        <v>2100</v>
      </c>
      <c r="I13" s="3">
        <f>Table1[[#This Row],[Nykyiset tiedot (PERUSTA)]]/Table1[[#This Row],[Todelliset tiedot (TOSIASIA)]]</f>
        <v>1.0952380952380953</v>
      </c>
      <c r="J13" s="4">
        <f>IF(Table1[[#This Row],[SUUNNITELMA %]]&gt;Table1[[#This Row],[TOSIASIA %]],0,Table1[[#This Row],[KPI paino]]*Table1[[#This Row],[TOSIASIA %]]/Table1[[#This Row],[SUUNNITELMA %]])</f>
        <v>0.15714285714285714</v>
      </c>
    </row>
    <row r="14" spans="2:10" ht="18.75" x14ac:dyDescent="0.3">
      <c r="B14" s="1"/>
      <c r="C14" s="10"/>
      <c r="D14" s="2"/>
      <c r="E14" s="2"/>
      <c r="F14" s="2"/>
      <c r="G14" s="3"/>
      <c r="H14" s="4"/>
      <c r="I14" s="27"/>
      <c r="J14" s="4"/>
    </row>
    <row r="15" spans="2:10" ht="18.75" x14ac:dyDescent="0.3">
      <c r="B15" s="2"/>
      <c r="C15" s="2" t="s">
        <v>24</v>
      </c>
      <c r="D15" s="2">
        <f>D13+D11+D9+D7+D5</f>
        <v>1</v>
      </c>
      <c r="E15" s="2"/>
      <c r="F15" s="2"/>
      <c r="G15" s="5"/>
      <c r="H15" s="22" t="s">
        <v>25</v>
      </c>
      <c r="I15" s="22"/>
      <c r="J15" s="14">
        <f>J5+J7+J9+J11+J13</f>
        <v>1.0445302445302445</v>
      </c>
    </row>
    <row r="16" spans="2:10" ht="18.75" x14ac:dyDescent="0.3">
      <c r="B16" s="1"/>
      <c r="C16" s="1"/>
      <c r="D16" s="1"/>
      <c r="E16" s="1"/>
      <c r="F16" s="1"/>
      <c r="G16" s="3"/>
      <c r="H16" s="14" t="s">
        <v>29</v>
      </c>
      <c r="I16" s="18"/>
      <c r="J16" s="6">
        <f>J15</f>
        <v>1.0445302445302445</v>
      </c>
    </row>
    <row r="17" spans="2:10" ht="18.75" x14ac:dyDescent="0.3">
      <c r="B17" s="1"/>
      <c r="C17" s="1"/>
      <c r="D17" s="1"/>
      <c r="E17" s="1"/>
      <c r="F17" s="1"/>
      <c r="G17" s="3"/>
      <c r="H17" s="23" t="s">
        <v>30</v>
      </c>
      <c r="I17" s="18"/>
      <c r="J17" s="6">
        <f>J16-100%</f>
        <v>4.4530244530244456E-2</v>
      </c>
    </row>
    <row r="18" spans="2:10" ht="18.75" x14ac:dyDescent="0.3">
      <c r="B18" s="1"/>
      <c r="C18" s="1"/>
      <c r="D18" s="1"/>
      <c r="E18" s="1"/>
      <c r="F18" s="1"/>
      <c r="G18" s="3"/>
      <c r="H18" s="20"/>
      <c r="I18" s="18"/>
      <c r="J18" s="21"/>
    </row>
    <row r="19" spans="2:10" x14ac:dyDescent="0.25">
      <c r="B19" s="54" t="s">
        <v>31</v>
      </c>
      <c r="C19" s="55" t="s">
        <v>34</v>
      </c>
      <c r="D19" s="55" t="s">
        <v>38</v>
      </c>
      <c r="E19" s="55"/>
      <c r="F19" s="56"/>
    </row>
    <row r="20" spans="2:10" x14ac:dyDescent="0.25">
      <c r="B20" s="46"/>
      <c r="C20" s="47" t="s">
        <v>35</v>
      </c>
      <c r="D20" s="47" t="s">
        <v>39</v>
      </c>
      <c r="E20" s="47"/>
      <c r="F20" s="48"/>
    </row>
    <row r="21" spans="2:10" x14ac:dyDescent="0.25">
      <c r="B21" s="49"/>
      <c r="C21" s="17" t="s">
        <v>36</v>
      </c>
      <c r="D21" s="17"/>
      <c r="E21" s="17"/>
      <c r="F21" s="50"/>
    </row>
    <row r="22" spans="2:10" x14ac:dyDescent="0.25">
      <c r="B22" s="51"/>
      <c r="C22" s="52" t="s">
        <v>37</v>
      </c>
      <c r="D22" s="52"/>
      <c r="E22" s="52"/>
      <c r="F22" s="53"/>
    </row>
    <row r="24" spans="2:10" ht="26.25" x14ac:dyDescent="0.4">
      <c r="C24" s="15" t="s">
        <v>40</v>
      </c>
    </row>
    <row r="26" spans="2:10" ht="43.5" customHeight="1" x14ac:dyDescent="0.25">
      <c r="B26" s="43" t="s">
        <v>41</v>
      </c>
      <c r="C26" s="43" t="s">
        <v>43</v>
      </c>
      <c r="D26" s="43" t="s">
        <v>44</v>
      </c>
      <c r="E26" s="42" t="s">
        <v>47</v>
      </c>
      <c r="F26" s="42" t="s">
        <v>30</v>
      </c>
      <c r="G26" s="42" t="s">
        <v>46</v>
      </c>
      <c r="H26" s="43" t="s">
        <v>48</v>
      </c>
    </row>
    <row r="27" spans="2:10" x14ac:dyDescent="0.25">
      <c r="D27" s="26"/>
      <c r="E27" s="19"/>
      <c r="F27" s="19"/>
      <c r="G27" s="19"/>
      <c r="H27" s="19"/>
    </row>
    <row r="28" spans="2:10" x14ac:dyDescent="0.25">
      <c r="D28" s="26"/>
      <c r="E28" s="19"/>
      <c r="F28" s="19"/>
      <c r="G28" s="19"/>
      <c r="H28" s="19"/>
    </row>
    <row r="29" spans="2:10" x14ac:dyDescent="0.25">
      <c r="B29" s="34" t="s">
        <v>42</v>
      </c>
      <c r="C29" s="35">
        <v>800</v>
      </c>
      <c r="D29" s="26">
        <f t="shared" ref="D29" si="0">IF(J16&gt;90%,1,IF(J16&gt;80%,0.9,IF(J16&gt;70%,0.8,IF(J16=70%,0.8,0))))</f>
        <v>1</v>
      </c>
      <c r="E29" s="19">
        <f>Table4[[#This Row],[Palkka (kiinteä summa)]]*Table4[[#This Row],[ Palkkiokerroin]]</f>
        <v>800</v>
      </c>
      <c r="F29" s="25">
        <f t="shared" ref="F29" si="1">IF(J17&gt;0%,J17,0)</f>
        <v>4.4530244530244456E-2</v>
      </c>
      <c r="G29" s="19">
        <f>Table4[[#This Row],[Palkka (kiinteä summa)]]*Table4[[#This Row],[% suunnitelman ylittäminen]]</f>
        <v>35.624195624195565</v>
      </c>
      <c r="H29" s="19">
        <f>Table4[[#This Row],[Palkka (kiinteä summa)]]+Table4[[#This Row],[Palkkio (riippuu suunnitelman toteutumisprosentista, %)]]+Table4[[#This Row],[Bonukset (riippuu suunnitelman ylittämisestä, %)]]</f>
        <v>1635.6241956241956</v>
      </c>
    </row>
    <row r="30" spans="2:10" x14ac:dyDescent="0.25">
      <c r="D30" s="26"/>
      <c r="E30" s="19"/>
      <c r="F30" s="19"/>
      <c r="G30" s="19"/>
      <c r="H30" s="19"/>
    </row>
    <row r="31" spans="2:10" x14ac:dyDescent="0.25">
      <c r="C31" s="34"/>
    </row>
    <row r="32" spans="2:10" x14ac:dyDescent="0.25">
      <c r="C32" t="s">
        <v>18</v>
      </c>
      <c r="D32" t="s">
        <v>45</v>
      </c>
    </row>
    <row r="33" spans="3:6" x14ac:dyDescent="0.25">
      <c r="C33" s="36" t="s">
        <v>53</v>
      </c>
      <c r="D33" s="36">
        <v>0</v>
      </c>
    </row>
    <row r="34" spans="3:6" x14ac:dyDescent="0.25">
      <c r="C34" s="37" t="s">
        <v>6</v>
      </c>
      <c r="D34" s="37">
        <v>0.8</v>
      </c>
    </row>
    <row r="35" spans="3:6" x14ac:dyDescent="0.25">
      <c r="C35" s="37" t="s">
        <v>7</v>
      </c>
      <c r="D35" s="37">
        <v>0.9</v>
      </c>
    </row>
    <row r="36" spans="3:6" x14ac:dyDescent="0.25">
      <c r="C36" s="37" t="s">
        <v>8</v>
      </c>
      <c r="D36" s="37">
        <v>1</v>
      </c>
      <c r="F36" s="24"/>
    </row>
    <row r="37" spans="3:6" x14ac:dyDescent="0.25">
      <c r="F37" s="24"/>
    </row>
  </sheetData>
  <sheetProtection algorithmName="SHA-512" hashValue="w+rMqds0mAf32xZZt0qk9Ivikni5gd/v/zlyohhLMdgyCOKOAXzeJW4Kd22zu97o/67i4osMMF4DzBF1g1X3DQ==" saltValue="F0jhKEPpYBdt24MJRHkGgQ==" spinCount="100000" sheet="1" formatCells="0" formatColumns="0" formatRows="0" sort="0" autoFilter="0" pivotTables="0"/>
  <phoneticPr fontId="4" type="noConversion"/>
  <conditionalFormatting sqref="J17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15">
      <iconSet iconSet="3Arrows">
        <cfvo type="percent" val="0"/>
        <cfvo type="num" val="-100"/>
        <cfvo type="num" val="0"/>
      </iconSet>
    </cfRule>
    <cfRule type="iconSet" priority="20">
      <iconSet iconSet="3Arrows">
        <cfvo type="percent" val="0"/>
        <cfvo type="percent" val="0"/>
        <cfvo type="percent" val="1"/>
      </iconSet>
    </cfRule>
  </conditionalFormatting>
  <conditionalFormatting sqref="J16">
    <cfRule type="iconSet" priority="1">
      <iconSet iconSet="4Arrows">
        <cfvo type="percent" val="0"/>
        <cfvo type="num" val="0.71"/>
        <cfvo type="num" val="0.81"/>
        <cfvo type="num" val="0.91"/>
      </iconSet>
    </cfRule>
    <cfRule type="iconSet" priority="2">
      <iconSet iconSet="4Arrows">
        <cfvo type="percent" val="0"/>
        <cfvo type="num" val="0.7"/>
        <cfvo type="percent" val="0.8"/>
        <cfvo type="num" val="0.9"/>
      </iconSet>
    </cfRule>
    <cfRule type="iconSet" priority="3">
      <iconSet iconSet="4Arrows">
        <cfvo type="percent" val="0"/>
        <cfvo type="num" val="80"/>
        <cfvo type="num" val="90"/>
        <cfvo type="num" val="100"/>
      </iconSet>
    </cfRule>
    <cfRule type="iconSet" priority="4">
      <iconSet iconSet="4Arrows">
        <cfvo type="percent" val="0"/>
        <cfvo type="percent" val="70"/>
        <cfvo type="percent" val="80"/>
        <cfvo type="percent" val="90"/>
      </iconSet>
    </cfRule>
    <cfRule type="iconSet" priority="7">
      <iconSet iconSet="4Arrows">
        <cfvo type="percent" val="0"/>
        <cfvo type="num" val="70"/>
        <cfvo type="num" val="80"/>
        <cfvo type="num" val="90"/>
      </iconSet>
    </cfRule>
    <cfRule type="iconSet" priority="8">
      <iconSet iconSet="4Arrows">
        <cfvo type="percent" val="0"/>
        <cfvo type="percent" val="70"/>
        <cfvo type="percent" val="80"/>
        <cfvo type="percent" val="90"/>
      </iconSet>
    </cfRule>
    <cfRule type="iconSet" priority="9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8883C26-821C-4D76-8514-C04171F1C3FE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J17</xm:sqref>
        </x14:conditionalFormatting>
        <x14:conditionalFormatting xmlns:xm="http://schemas.microsoft.com/office/excel/2006/main">
          <x14:cfRule type="iconSet" priority="14" id="{058ECE3D-546D-4283-9A0E-98F72CE7810A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J17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7E94-2284-4C15-AEAC-4D3E0FB06A8D}">
  <dimension ref="B1:K35"/>
  <sheetViews>
    <sheetView topLeftCell="A7" workbookViewId="0">
      <selection activeCell="H24" sqref="H24"/>
    </sheetView>
  </sheetViews>
  <sheetFormatPr defaultRowHeight="15" x14ac:dyDescent="0.25"/>
  <cols>
    <col min="2" max="2" width="13.85546875" customWidth="1"/>
    <col min="3" max="3" width="51.42578125" customWidth="1"/>
    <col min="4" max="4" width="24.42578125" customWidth="1"/>
    <col min="5" max="5" width="32.28515625" customWidth="1"/>
    <col min="6" max="6" width="43.7109375" customWidth="1"/>
    <col min="7" max="7" width="36.42578125" customWidth="1"/>
    <col min="8" max="8" width="36" customWidth="1"/>
    <col min="9" max="9" width="16.85546875" customWidth="1"/>
    <col min="10" max="10" width="42" customWidth="1"/>
    <col min="11" max="11" width="24.140625" customWidth="1"/>
  </cols>
  <sheetData>
    <row r="1" spans="2:11" ht="26.25" x14ac:dyDescent="0.4">
      <c r="C1" s="15" t="s">
        <v>14</v>
      </c>
      <c r="H1" s="25"/>
    </row>
    <row r="4" spans="2:11" ht="18.75" x14ac:dyDescent="0.3">
      <c r="B4" s="40" t="s">
        <v>0</v>
      </c>
      <c r="C4" s="40" t="s">
        <v>16</v>
      </c>
      <c r="D4" s="40" t="s">
        <v>17</v>
      </c>
      <c r="E4" s="41" t="s">
        <v>26</v>
      </c>
      <c r="F4" s="41" t="s">
        <v>32</v>
      </c>
      <c r="G4" s="40" t="s">
        <v>33</v>
      </c>
      <c r="H4" s="40" t="s">
        <v>27</v>
      </c>
      <c r="I4" s="40" t="s">
        <v>28</v>
      </c>
      <c r="J4" s="40" t="s">
        <v>29</v>
      </c>
      <c r="K4" s="40" t="s">
        <v>18</v>
      </c>
    </row>
    <row r="5" spans="2:11" ht="18.75" x14ac:dyDescent="0.3">
      <c r="B5" s="1" t="s">
        <v>1</v>
      </c>
      <c r="C5" s="38" t="s">
        <v>9</v>
      </c>
      <c r="D5" s="31">
        <v>0.25</v>
      </c>
      <c r="E5" s="32">
        <v>50000</v>
      </c>
      <c r="F5" s="32">
        <v>60000</v>
      </c>
      <c r="G5" s="7">
        <f>Table17[[#This Row],[Suunnitellut tiedot (SUUNNITELMA)]]/Table17[[#This Row],[Nykyiset tiedot (PERUSTA)]]</f>
        <v>1.2</v>
      </c>
      <c r="H5" s="33">
        <v>63000</v>
      </c>
      <c r="I5" s="3">
        <f>Table17[[#This Row],[Todelliset tiedot (TOSIASIA)]]/Table17[[#This Row],[Nykyiset tiedot (PERUSTA)]]</f>
        <v>1.26</v>
      </c>
      <c r="J5" s="3">
        <f>Table17[[#This Row],[Todelliset tiedot (TOSIASIA)]]/Table17[[#This Row],[Suunnitellut tiedot (SUUNNITELMA)]]</f>
        <v>1.05</v>
      </c>
      <c r="K5" s="39">
        <f>IF(Table17[[#This Row],[SUUNNITELMA %]]&gt;Table17[[#This Row],[TOSIASIA %]],0,Table17[[#This Row],[KPI paino]]*Table17[[#This Row],[% suunnitelman toteutumisesta]])</f>
        <v>0.26250000000000001</v>
      </c>
    </row>
    <row r="6" spans="2:11" ht="18.75" x14ac:dyDescent="0.3">
      <c r="B6" s="1"/>
      <c r="C6" s="11"/>
      <c r="D6" s="1"/>
      <c r="E6" s="9"/>
      <c r="F6" s="9"/>
      <c r="G6" s="8"/>
      <c r="H6" s="13"/>
      <c r="I6" s="3"/>
      <c r="J6" s="3"/>
      <c r="K6" s="39"/>
    </row>
    <row r="7" spans="2:11" ht="18.75" x14ac:dyDescent="0.3">
      <c r="B7" s="1" t="s">
        <v>2</v>
      </c>
      <c r="C7" s="38" t="s">
        <v>10</v>
      </c>
      <c r="D7" s="31">
        <v>0.25</v>
      </c>
      <c r="E7" s="32">
        <v>500</v>
      </c>
      <c r="F7" s="32">
        <v>600</v>
      </c>
      <c r="G7" s="7">
        <f>Table17[[#This Row],[Suunnitellut tiedot (SUUNNITELMA)]]/Table17[[#This Row],[Nykyiset tiedot (PERUSTA)]]</f>
        <v>1.2</v>
      </c>
      <c r="H7" s="33">
        <v>650</v>
      </c>
      <c r="I7" s="3">
        <f>Table17[[#This Row],[Todelliset tiedot (TOSIASIA)]]/Table17[[#This Row],[Nykyiset tiedot (PERUSTA)]]</f>
        <v>1.3</v>
      </c>
      <c r="J7" s="3">
        <f>Table17[[#This Row],[Todelliset tiedot (TOSIASIA)]]/Table17[[#This Row],[Suunnitellut tiedot (SUUNNITELMA)]]</f>
        <v>1.0833333333333333</v>
      </c>
      <c r="K7" s="39">
        <f>IF(Table17[[#This Row],[SUUNNITELMA %]]&gt;Table17[[#This Row],[TOSIASIA %]],0,Table17[[#This Row],[KPI paino]]*Table17[[#This Row],[% suunnitelman toteutumisesta]])</f>
        <v>0.27083333333333331</v>
      </c>
    </row>
    <row r="8" spans="2:11" ht="18.75" x14ac:dyDescent="0.3">
      <c r="B8" s="1"/>
      <c r="C8" s="11"/>
      <c r="D8" s="1"/>
      <c r="E8" s="9"/>
      <c r="F8" s="9"/>
      <c r="G8" s="8"/>
      <c r="H8" s="13"/>
      <c r="I8" s="3"/>
      <c r="J8" s="3"/>
      <c r="K8" s="39"/>
    </row>
    <row r="9" spans="2:11" ht="18.75" x14ac:dyDescent="0.3">
      <c r="B9" s="1" t="s">
        <v>3</v>
      </c>
      <c r="C9" s="38" t="s">
        <v>11</v>
      </c>
      <c r="D9" s="31">
        <v>0.2</v>
      </c>
      <c r="E9" s="32">
        <v>1500</v>
      </c>
      <c r="F9" s="32">
        <v>1800</v>
      </c>
      <c r="G9" s="7">
        <f>Table17[[#This Row],[Suunnitellut tiedot (SUUNNITELMA)]]/Table17[[#This Row],[Nykyiset tiedot (PERUSTA)]]</f>
        <v>1.2</v>
      </c>
      <c r="H9" s="33">
        <v>1800</v>
      </c>
      <c r="I9" s="3">
        <f>Table17[[#This Row],[Todelliset tiedot (TOSIASIA)]]/Table17[[#This Row],[Nykyiset tiedot (PERUSTA)]]</f>
        <v>1.2</v>
      </c>
      <c r="J9" s="3">
        <f>Table17[[#This Row],[Todelliset tiedot (TOSIASIA)]]/Table17[[#This Row],[Suunnitellut tiedot (SUUNNITELMA)]]</f>
        <v>1</v>
      </c>
      <c r="K9" s="39">
        <f>IF(Table17[[#This Row],[SUUNNITELMA %]]&gt;Table17[[#This Row],[TOSIASIA %]],0,Table17[[#This Row],[KPI paino]]*Table17[[#This Row],[% suunnitelman toteutumisesta]])</f>
        <v>0.2</v>
      </c>
    </row>
    <row r="10" spans="2:11" ht="18.75" x14ac:dyDescent="0.3">
      <c r="B10" s="1"/>
      <c r="C10" s="11"/>
      <c r="D10" s="1"/>
      <c r="E10" s="9"/>
      <c r="F10" s="9"/>
      <c r="G10" s="8"/>
      <c r="H10" s="13"/>
      <c r="I10" s="3"/>
      <c r="J10" s="3"/>
      <c r="K10" s="39"/>
    </row>
    <row r="11" spans="2:11" ht="18.75" x14ac:dyDescent="0.3">
      <c r="B11" s="1" t="s">
        <v>4</v>
      </c>
      <c r="C11" s="38" t="s">
        <v>12</v>
      </c>
      <c r="D11" s="31">
        <v>0.15</v>
      </c>
      <c r="E11" s="32">
        <v>33</v>
      </c>
      <c r="F11" s="32">
        <v>37</v>
      </c>
      <c r="G11" s="7">
        <f>Table17[[#This Row],[Suunnitellut tiedot (SUUNNITELMA)]]/Table17[[#This Row],[Nykyiset tiedot (PERUSTA)]]</f>
        <v>1.1212121212121211</v>
      </c>
      <c r="H11" s="33">
        <v>38</v>
      </c>
      <c r="I11" s="3">
        <f>Table17[[#This Row],[Todelliset tiedot (TOSIASIA)]]/Table17[[#This Row],[Nykyiset tiedot (PERUSTA)]]</f>
        <v>1.1515151515151516</v>
      </c>
      <c r="J11" s="3">
        <f>Table17[[#This Row],[Todelliset tiedot (TOSIASIA)]]/Table17[[#This Row],[Suunnitellut tiedot (SUUNNITELMA)]]</f>
        <v>1.027027027027027</v>
      </c>
      <c r="K11" s="39">
        <f>IF(Table17[[#This Row],[SUUNNITELMA %]]&gt;Table17[[#This Row],[TOSIASIA %]],0,Table17[[#This Row],[KPI paino]]*Table17[[#This Row],[% suunnitelman toteutumisesta]])</f>
        <v>0.15405405405405403</v>
      </c>
    </row>
    <row r="12" spans="2:11" ht="18.75" x14ac:dyDescent="0.3">
      <c r="B12" s="1"/>
      <c r="C12" s="11"/>
      <c r="D12" s="1"/>
      <c r="E12" s="9"/>
      <c r="F12" s="9"/>
      <c r="G12" s="8"/>
      <c r="H12" s="13"/>
      <c r="I12" s="3"/>
      <c r="J12" s="3"/>
      <c r="K12" s="39"/>
    </row>
    <row r="13" spans="2:11" ht="18.75" x14ac:dyDescent="0.3">
      <c r="B13" s="1" t="s">
        <v>5</v>
      </c>
      <c r="C13" s="38" t="s">
        <v>13</v>
      </c>
      <c r="D13" s="31">
        <v>0.15</v>
      </c>
      <c r="E13" s="32">
        <v>2300</v>
      </c>
      <c r="F13" s="32">
        <v>2200</v>
      </c>
      <c r="G13" s="7">
        <f>Table17[[#This Row],[Nykyiset tiedot (PERUSTA)]]/Table17[[#This Row],[Suunnitellut tiedot (SUUNNITELMA)]]</f>
        <v>1.0454545454545454</v>
      </c>
      <c r="H13" s="33">
        <v>2100</v>
      </c>
      <c r="I13" s="3">
        <f>Table17[[#This Row],[Nykyiset tiedot (PERUSTA)]]/Table17[[#This Row],[Todelliset tiedot (TOSIASIA)]]</f>
        <v>1.0952380952380953</v>
      </c>
      <c r="J13" s="3">
        <f>Table17[[#This Row],[Suunnitellut tiedot (SUUNNITELMA)]]/Table17[[#This Row],[Todelliset tiedot (TOSIASIA)]]</f>
        <v>1.0476190476190477</v>
      </c>
      <c r="K13" s="39">
        <f>IF(Table17[[#This Row],[SUUNNITELMA %]]&gt;Table17[[#This Row],[TOSIASIA %]],0,Table17[[#This Row],[KPI paino]]*Table17[[#This Row],[% suunnitelman toteutumisesta]])</f>
        <v>0.15714285714285714</v>
      </c>
    </row>
    <row r="14" spans="2:11" ht="18.75" x14ac:dyDescent="0.3">
      <c r="B14" s="1"/>
      <c r="C14" s="10"/>
      <c r="D14" s="2"/>
      <c r="E14" s="2"/>
      <c r="F14" s="2"/>
      <c r="G14" s="3"/>
      <c r="H14" s="4"/>
      <c r="I14" s="3"/>
      <c r="J14" s="3"/>
      <c r="K14" s="4"/>
    </row>
    <row r="15" spans="2:11" ht="18.75" x14ac:dyDescent="0.3">
      <c r="B15" s="2"/>
      <c r="C15" s="2" t="s">
        <v>24</v>
      </c>
      <c r="D15" s="2">
        <f>D13+D11+D9+D7+D5</f>
        <v>1</v>
      </c>
      <c r="E15" s="2"/>
      <c r="F15" s="2"/>
      <c r="G15" s="5"/>
      <c r="H15" s="22" t="s">
        <v>25</v>
      </c>
      <c r="I15" s="22"/>
      <c r="J15" s="5"/>
      <c r="K15" s="14">
        <f>K5+K7+K9+K11+K13</f>
        <v>1.0445302445302445</v>
      </c>
    </row>
    <row r="16" spans="2:11" ht="18.75" x14ac:dyDescent="0.3">
      <c r="B16" s="1"/>
      <c r="C16" s="1"/>
      <c r="D16" s="1"/>
      <c r="E16" s="1"/>
      <c r="F16" s="1"/>
      <c r="G16" s="3"/>
      <c r="H16" s="14" t="s">
        <v>29</v>
      </c>
      <c r="I16" s="18"/>
      <c r="J16" s="18"/>
      <c r="K16" s="6">
        <f>K15</f>
        <v>1.0445302445302445</v>
      </c>
    </row>
    <row r="17" spans="2:11" ht="18.75" x14ac:dyDescent="0.3">
      <c r="B17" s="1"/>
      <c r="C17" s="1"/>
      <c r="D17" s="1"/>
      <c r="E17" s="1"/>
      <c r="F17" s="1"/>
      <c r="G17" s="3"/>
      <c r="H17" s="23" t="s">
        <v>30</v>
      </c>
      <c r="I17" s="18"/>
      <c r="J17" s="18"/>
      <c r="K17" s="6">
        <f>K16-100%</f>
        <v>4.4530244530244456E-2</v>
      </c>
    </row>
    <row r="18" spans="2:11" ht="18.75" x14ac:dyDescent="0.3">
      <c r="B18" s="1"/>
      <c r="C18" s="1"/>
      <c r="D18" s="1"/>
      <c r="E18" s="1"/>
      <c r="F18" s="1"/>
      <c r="G18" s="3"/>
      <c r="H18" s="20"/>
      <c r="I18" s="18"/>
      <c r="J18" s="21"/>
    </row>
    <row r="19" spans="2:11" x14ac:dyDescent="0.25">
      <c r="B19" s="16" t="s">
        <v>31</v>
      </c>
      <c r="C19" s="17" t="s">
        <v>51</v>
      </c>
      <c r="D19" s="17" t="s">
        <v>38</v>
      </c>
      <c r="E19" s="17"/>
      <c r="F19" s="17"/>
    </row>
    <row r="20" spans="2:11" x14ac:dyDescent="0.25">
      <c r="B20" s="17"/>
      <c r="C20" s="17" t="s">
        <v>52</v>
      </c>
      <c r="D20" s="17" t="s">
        <v>39</v>
      </c>
      <c r="E20" s="17"/>
      <c r="F20" s="17"/>
    </row>
    <row r="22" spans="2:11" ht="26.25" x14ac:dyDescent="0.4">
      <c r="C22" s="15" t="s">
        <v>40</v>
      </c>
    </row>
    <row r="24" spans="2:11" ht="33.75" customHeight="1" x14ac:dyDescent="0.25">
      <c r="B24" s="43" t="s">
        <v>41</v>
      </c>
      <c r="C24" s="43" t="s">
        <v>43</v>
      </c>
      <c r="D24" s="43" t="s">
        <v>45</v>
      </c>
      <c r="E24" s="42" t="s">
        <v>47</v>
      </c>
      <c r="F24" s="42" t="s">
        <v>30</v>
      </c>
      <c r="G24" s="42" t="s">
        <v>46</v>
      </c>
      <c r="H24" s="43" t="s">
        <v>48</v>
      </c>
    </row>
    <row r="25" spans="2:11" x14ac:dyDescent="0.25">
      <c r="D25" s="19"/>
      <c r="E25" s="19"/>
      <c r="F25" s="19"/>
      <c r="G25" s="19"/>
      <c r="H25" s="19"/>
    </row>
    <row r="26" spans="2:11" x14ac:dyDescent="0.25">
      <c r="D26" s="19"/>
      <c r="E26" s="19"/>
      <c r="F26" s="19"/>
      <c r="G26" s="19"/>
      <c r="H26" s="19"/>
    </row>
    <row r="27" spans="2:11" x14ac:dyDescent="0.25">
      <c r="B27" s="34" t="s">
        <v>42</v>
      </c>
      <c r="C27" s="35">
        <v>800</v>
      </c>
      <c r="D27" s="26">
        <f t="shared" ref="D27" si="0">IF(K16&gt;90%,1,IF(K16&gt;80%,0.9,IF(K16&gt;70%,0.8,IF(K16=70%,0.8,0))))</f>
        <v>1</v>
      </c>
      <c r="E27" s="19">
        <f>Table48[[#This Row],[Palkka (kiinteä summa)]]*Table48[[#This Row],[Palkkiokerroin]]</f>
        <v>800</v>
      </c>
      <c r="F27" s="25">
        <f t="shared" ref="F27" si="1">IF(K17&gt;0%,K17,0)</f>
        <v>4.4530244530244456E-2</v>
      </c>
      <c r="G27" s="19">
        <f>Table48[[#This Row],[Palkka (kiinteä summa)]]*Table48[[#This Row],[% suunnitelman ylittäminen]]</f>
        <v>35.624195624195565</v>
      </c>
      <c r="H27" s="19">
        <f>Table48[[#This Row],[Palkka (kiinteä summa)]]+Table48[[#This Row],[Palkkio (riippuu suunnitelman toteutumisprosentista, %)]]+Table48[[#This Row],[Bonukset (riippuu suunnitelman ylittämisestä, %)]]</f>
        <v>1635.6241956241956</v>
      </c>
    </row>
    <row r="28" spans="2:11" x14ac:dyDescent="0.25">
      <c r="D28" s="19"/>
      <c r="E28" s="19"/>
      <c r="F28" s="19"/>
      <c r="G28" s="19"/>
      <c r="H28" s="19"/>
    </row>
    <row r="30" spans="2:11" x14ac:dyDescent="0.25">
      <c r="C30" t="s">
        <v>18</v>
      </c>
      <c r="D30" t="s">
        <v>45</v>
      </c>
    </row>
    <row r="31" spans="2:11" x14ac:dyDescent="0.25">
      <c r="C31" s="36" t="s">
        <v>54</v>
      </c>
      <c r="D31" s="36">
        <v>0</v>
      </c>
    </row>
    <row r="32" spans="2:11" x14ac:dyDescent="0.25">
      <c r="C32" s="37" t="s">
        <v>6</v>
      </c>
      <c r="D32" s="37">
        <v>0.8</v>
      </c>
    </row>
    <row r="33" spans="3:6" x14ac:dyDescent="0.25">
      <c r="C33" s="37" t="s">
        <v>7</v>
      </c>
      <c r="D33" s="37">
        <v>0.9</v>
      </c>
    </row>
    <row r="34" spans="3:6" x14ac:dyDescent="0.25">
      <c r="C34" s="37" t="s">
        <v>8</v>
      </c>
      <c r="D34" s="37">
        <v>1</v>
      </c>
      <c r="F34" s="24"/>
    </row>
    <row r="35" spans="3:6" x14ac:dyDescent="0.25">
      <c r="F35" s="24"/>
    </row>
  </sheetData>
  <sheetProtection algorithmName="SHA-512" hashValue="s8WCB+oPBfltb2J56hl0gMPmRmrADzxYmlJX6wfb2CoHyKYydimmyebJQJbOCMQNozqeBqlwJmZSNPoJOcc81g==" saltValue="nDSAxgsF+lEanMxSiI8vLQ==" spinCount="100000" sheet="1" formatCells="0" formatColumns="0" formatRows="0" sort="0" autoFilter="0" pivotTables="0"/>
  <conditionalFormatting sqref="K1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0">
      <iconSet iconSet="3Arrows">
        <cfvo type="percent" val="0"/>
        <cfvo type="num" val="-100"/>
        <cfvo type="num" val="0"/>
      </iconSet>
    </cfRule>
    <cfRule type="iconSet" priority="11">
      <iconSet iconSet="3Arrows">
        <cfvo type="percent" val="0"/>
        <cfvo type="percent" val="0"/>
        <cfvo type="percent" val="1"/>
      </iconSet>
    </cfRule>
  </conditionalFormatting>
  <conditionalFormatting sqref="K16">
    <cfRule type="iconSet" priority="1">
      <iconSet iconSet="4Arrows">
        <cfvo type="percent" val="0"/>
        <cfvo type="num" val="0.71"/>
        <cfvo type="num" val="0.81"/>
        <cfvo type="num" val="0.91"/>
      </iconSet>
    </cfRule>
    <cfRule type="iconSet" priority="2">
      <iconSet iconSet="4Arrows">
        <cfvo type="percent" val="0"/>
        <cfvo type="num" val="0.7"/>
        <cfvo type="percent" val="0.8"/>
        <cfvo type="num" val="0.9"/>
      </iconSet>
    </cfRule>
    <cfRule type="iconSet" priority="3">
      <iconSet iconSet="4Arrows">
        <cfvo type="percent" val="0"/>
        <cfvo type="num" val="80"/>
        <cfvo type="num" val="90"/>
        <cfvo type="num" val="100"/>
      </iconSet>
    </cfRule>
    <cfRule type="iconSet" priority="4">
      <iconSet iconSet="4Arrows">
        <cfvo type="percent" val="0"/>
        <cfvo type="percent" val="70"/>
        <cfvo type="percent" val="80"/>
        <cfvo type="percent" val="90"/>
      </iconSet>
    </cfRule>
    <cfRule type="iconSet" priority="6">
      <iconSet iconSet="4Arrows">
        <cfvo type="percent" val="0"/>
        <cfvo type="num" val="70"/>
        <cfvo type="num" val="80"/>
        <cfvo type="num" val="90"/>
      </iconSet>
    </cfRule>
    <cfRule type="iconSet" priority="7">
      <iconSet iconSet="4Arrows">
        <cfvo type="percent" val="0"/>
        <cfvo type="percent" val="70"/>
        <cfvo type="percent" val="80"/>
        <cfvo type="percent" val="90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AA935A8-DD1C-4B3D-8514-94B900764C8D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9" id="{B4C60148-66A2-48C6-8B8B-10CCB984EDE1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K17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101F-5FED-4DAF-A344-C8071A600868}">
  <dimension ref="B1:M36"/>
  <sheetViews>
    <sheetView topLeftCell="A13" workbookViewId="0">
      <selection activeCell="L5" sqref="L5"/>
    </sheetView>
  </sheetViews>
  <sheetFormatPr defaultRowHeight="15" x14ac:dyDescent="0.25"/>
  <cols>
    <col min="2" max="2" width="13.85546875" customWidth="1"/>
    <col min="3" max="3" width="58.28515625" customWidth="1"/>
    <col min="4" max="4" width="24.42578125" customWidth="1"/>
    <col min="5" max="5" width="32.28515625" customWidth="1"/>
    <col min="6" max="6" width="43.42578125" customWidth="1"/>
    <col min="7" max="7" width="33.5703125" customWidth="1"/>
    <col min="8" max="8" width="34.85546875" customWidth="1"/>
    <col min="9" max="9" width="17.42578125" customWidth="1"/>
    <col min="10" max="10" width="32.28515625" customWidth="1"/>
    <col min="11" max="11" width="24.140625" customWidth="1"/>
    <col min="12" max="12" width="40.7109375" customWidth="1"/>
    <col min="13" max="13" width="18.5703125" customWidth="1"/>
  </cols>
  <sheetData>
    <row r="1" spans="2:13" ht="26.25" x14ac:dyDescent="0.4">
      <c r="C1" s="15" t="s">
        <v>15</v>
      </c>
      <c r="H1" s="25"/>
    </row>
    <row r="4" spans="2:13" ht="18.75" x14ac:dyDescent="0.3">
      <c r="B4" s="40" t="s">
        <v>0</v>
      </c>
      <c r="C4" s="40" t="s">
        <v>16</v>
      </c>
      <c r="D4" s="40" t="s">
        <v>17</v>
      </c>
      <c r="E4" s="41" t="s">
        <v>26</v>
      </c>
      <c r="F4" s="41" t="s">
        <v>32</v>
      </c>
      <c r="G4" s="40" t="s">
        <v>33</v>
      </c>
      <c r="H4" s="40" t="s">
        <v>27</v>
      </c>
      <c r="I4" s="40" t="s">
        <v>28</v>
      </c>
      <c r="J4" s="40" t="s">
        <v>49</v>
      </c>
      <c r="K4" s="40" t="s">
        <v>50</v>
      </c>
      <c r="L4" s="40" t="s">
        <v>29</v>
      </c>
      <c r="M4" s="40" t="s">
        <v>18</v>
      </c>
    </row>
    <row r="5" spans="2:13" ht="18.75" x14ac:dyDescent="0.3">
      <c r="B5" s="1" t="s">
        <v>1</v>
      </c>
      <c r="C5" s="38" t="s">
        <v>9</v>
      </c>
      <c r="D5" s="31">
        <v>0.25</v>
      </c>
      <c r="E5" s="32">
        <v>50000</v>
      </c>
      <c r="F5" s="32">
        <v>60000</v>
      </c>
      <c r="G5" s="7">
        <f>Table1710[[#This Row],[Suunnitellut tiedot (SUUNNITELMA)]]/Table1710[[#This Row],[Nykyiset tiedot (PERUSTA)]]</f>
        <v>1.2</v>
      </c>
      <c r="H5" s="33">
        <v>63000</v>
      </c>
      <c r="I5" s="3">
        <f>Table1710[[#This Row],[Todelliset tiedot (TOSIASIA)]]/Table1710[[#This Row],[Nykyiset tiedot (PERUSTA)]]</f>
        <v>1.26</v>
      </c>
      <c r="J5" s="12">
        <f>Table1710[[#This Row],[Suunnitellut tiedot (SUUNNITELMA)]]-Table1710[[#This Row],[Nykyiset tiedot (PERUSTA)]]</f>
        <v>10000</v>
      </c>
      <c r="K5" s="39">
        <f>Table1710[[#This Row],[Todelliset tiedot (TOSIASIA)]]-Table1710[[#This Row],[Nykyiset tiedot (PERUSTA)]]</f>
        <v>13000</v>
      </c>
      <c r="L5" s="3">
        <f>Table1710[[#This Row],[TOSIASIA-PERUSTA]]/Table1710[[#This Row],[SUUNNITELMA-PERUSTA]]</f>
        <v>1.3</v>
      </c>
      <c r="M5" s="39">
        <f>IF(Table1710[[#This Row],[SUUNNITELMA %]]&gt;Table1710[[#This Row],[TOSIASIA %]],0,Table1710[[#This Row],[KPI paino]]*Table1710[[#This Row],[% suunnitelman toteutumisesta]])</f>
        <v>0.32500000000000001</v>
      </c>
    </row>
    <row r="6" spans="2:13" ht="18.75" x14ac:dyDescent="0.3">
      <c r="B6" s="1"/>
      <c r="C6" s="11"/>
      <c r="D6" s="1"/>
      <c r="E6" s="9"/>
      <c r="F6" s="9"/>
      <c r="G6" s="8"/>
      <c r="H6" s="13"/>
      <c r="I6" s="3"/>
      <c r="J6" s="13"/>
      <c r="K6" s="4"/>
      <c r="L6" s="3"/>
      <c r="M6" s="39"/>
    </row>
    <row r="7" spans="2:13" ht="18.75" x14ac:dyDescent="0.3">
      <c r="B7" s="1" t="s">
        <v>2</v>
      </c>
      <c r="C7" s="38" t="s">
        <v>10</v>
      </c>
      <c r="D7" s="31">
        <v>0.25</v>
      </c>
      <c r="E7" s="32">
        <v>500</v>
      </c>
      <c r="F7" s="32">
        <v>600</v>
      </c>
      <c r="G7" s="7">
        <f>Table1710[[#This Row],[Suunnitellut tiedot (SUUNNITELMA)]]/Table1710[[#This Row],[Nykyiset tiedot (PERUSTA)]]</f>
        <v>1.2</v>
      </c>
      <c r="H7" s="33">
        <v>650</v>
      </c>
      <c r="I7" s="3">
        <f>Table1710[[#This Row],[Todelliset tiedot (TOSIASIA)]]/Table1710[[#This Row],[Nykyiset tiedot (PERUSTA)]]</f>
        <v>1.3</v>
      </c>
      <c r="J7" s="12">
        <f>Table1710[[#This Row],[Suunnitellut tiedot (SUUNNITELMA)]]-Table1710[[#This Row],[Nykyiset tiedot (PERUSTA)]]</f>
        <v>100</v>
      </c>
      <c r="K7" s="4">
        <f>Table1710[[#This Row],[Todelliset tiedot (TOSIASIA)]]-Table1710[[#This Row],[Nykyiset tiedot (PERUSTA)]]</f>
        <v>150</v>
      </c>
      <c r="L7" s="3">
        <f>Table1710[[#This Row],[TOSIASIA-PERUSTA]]/Table1710[[#This Row],[SUUNNITELMA-PERUSTA]]</f>
        <v>1.5</v>
      </c>
      <c r="M7" s="39">
        <f>IF(Table1710[[#This Row],[SUUNNITELMA %]]&gt;Table1710[[#This Row],[TOSIASIA %]],0,Table1710[[#This Row],[KPI paino]]*Table1710[[#This Row],[% suunnitelman toteutumisesta]])</f>
        <v>0.375</v>
      </c>
    </row>
    <row r="8" spans="2:13" ht="18.75" x14ac:dyDescent="0.3">
      <c r="B8" s="1"/>
      <c r="C8" s="11"/>
      <c r="D8" s="1"/>
      <c r="E8" s="9"/>
      <c r="F8" s="9"/>
      <c r="G8" s="8"/>
      <c r="H8" s="13"/>
      <c r="I8" s="3"/>
      <c r="J8" s="13"/>
      <c r="K8" s="4"/>
      <c r="L8" s="3"/>
      <c r="M8" s="39"/>
    </row>
    <row r="9" spans="2:13" ht="18.75" x14ac:dyDescent="0.3">
      <c r="B9" s="1" t="s">
        <v>3</v>
      </c>
      <c r="C9" s="38" t="s">
        <v>11</v>
      </c>
      <c r="D9" s="31">
        <v>0.2</v>
      </c>
      <c r="E9" s="32">
        <v>1500</v>
      </c>
      <c r="F9" s="32">
        <v>1800</v>
      </c>
      <c r="G9" s="7">
        <f>Table1710[[#This Row],[Suunnitellut tiedot (SUUNNITELMA)]]/Table1710[[#This Row],[Nykyiset tiedot (PERUSTA)]]</f>
        <v>1.2</v>
      </c>
      <c r="H9" s="33">
        <v>1800</v>
      </c>
      <c r="I9" s="3">
        <f>Table1710[[#This Row],[Todelliset tiedot (TOSIASIA)]]/Table1710[[#This Row],[Nykyiset tiedot (PERUSTA)]]</f>
        <v>1.2</v>
      </c>
      <c r="J9" s="12">
        <f>Table1710[[#This Row],[Suunnitellut tiedot (SUUNNITELMA)]]-Table1710[[#This Row],[Nykyiset tiedot (PERUSTA)]]</f>
        <v>300</v>
      </c>
      <c r="K9" s="4">
        <f>Table1710[[#This Row],[Todelliset tiedot (TOSIASIA)]]-Table1710[[#This Row],[Nykyiset tiedot (PERUSTA)]]</f>
        <v>300</v>
      </c>
      <c r="L9" s="3">
        <f>Table1710[[#This Row],[TOSIASIA-PERUSTA]]/Table1710[[#This Row],[SUUNNITELMA-PERUSTA]]</f>
        <v>1</v>
      </c>
      <c r="M9" s="39">
        <f>IF(Table1710[[#This Row],[SUUNNITELMA %]]&gt;Table1710[[#This Row],[TOSIASIA %]],0,Table1710[[#This Row],[KPI paino]]*Table1710[[#This Row],[% suunnitelman toteutumisesta]])</f>
        <v>0.2</v>
      </c>
    </row>
    <row r="10" spans="2:13" ht="18.75" x14ac:dyDescent="0.3">
      <c r="B10" s="1"/>
      <c r="C10" s="11"/>
      <c r="D10" s="1"/>
      <c r="E10" s="9"/>
      <c r="F10" s="9"/>
      <c r="G10" s="8"/>
      <c r="H10" s="13"/>
      <c r="I10" s="3"/>
      <c r="J10" s="13"/>
      <c r="K10" s="4"/>
      <c r="L10" s="3"/>
      <c r="M10" s="39"/>
    </row>
    <row r="11" spans="2:13" ht="18.75" x14ac:dyDescent="0.3">
      <c r="B11" s="1" t="s">
        <v>4</v>
      </c>
      <c r="C11" s="38" t="s">
        <v>12</v>
      </c>
      <c r="D11" s="31">
        <v>0.15</v>
      </c>
      <c r="E11" s="32">
        <v>33</v>
      </c>
      <c r="F11" s="32">
        <v>37</v>
      </c>
      <c r="G11" s="7">
        <f>Table1710[[#This Row],[Suunnitellut tiedot (SUUNNITELMA)]]/Table1710[[#This Row],[Nykyiset tiedot (PERUSTA)]]</f>
        <v>1.1212121212121211</v>
      </c>
      <c r="H11" s="33">
        <v>38</v>
      </c>
      <c r="I11" s="3">
        <f>Table1710[[#This Row],[Todelliset tiedot (TOSIASIA)]]/Table1710[[#This Row],[Nykyiset tiedot (PERUSTA)]]</f>
        <v>1.1515151515151516</v>
      </c>
      <c r="J11" s="12">
        <f>Table1710[[#This Row],[Suunnitellut tiedot (SUUNNITELMA)]]-Table1710[[#This Row],[Nykyiset tiedot (PERUSTA)]]</f>
        <v>4</v>
      </c>
      <c r="K11" s="4">
        <f>Table1710[[#This Row],[Todelliset tiedot (TOSIASIA)]]-Table1710[[#This Row],[Nykyiset tiedot (PERUSTA)]]</f>
        <v>5</v>
      </c>
      <c r="L11" s="3">
        <f>Table1710[[#This Row],[TOSIASIA-PERUSTA]]/Table1710[[#This Row],[SUUNNITELMA-PERUSTA]]</f>
        <v>1.25</v>
      </c>
      <c r="M11" s="39">
        <f>IF(Table1710[[#This Row],[SUUNNITELMA %]]&gt;Table1710[[#This Row],[TOSIASIA %]],0,Table1710[[#This Row],[KPI paino]]*Table1710[[#This Row],[% suunnitelman toteutumisesta]])</f>
        <v>0.1875</v>
      </c>
    </row>
    <row r="12" spans="2:13" ht="18.75" x14ac:dyDescent="0.3">
      <c r="B12" s="1"/>
      <c r="C12" s="11"/>
      <c r="D12" s="1"/>
      <c r="E12" s="9"/>
      <c r="F12" s="9"/>
      <c r="G12" s="8"/>
      <c r="H12" s="13"/>
      <c r="I12" s="3"/>
      <c r="J12" s="13"/>
      <c r="K12" s="4"/>
      <c r="L12" s="3"/>
      <c r="M12" s="39"/>
    </row>
    <row r="13" spans="2:13" ht="18.75" x14ac:dyDescent="0.3">
      <c r="B13" s="1" t="s">
        <v>5</v>
      </c>
      <c r="C13" s="38" t="s">
        <v>13</v>
      </c>
      <c r="D13" s="31">
        <v>0.15</v>
      </c>
      <c r="E13" s="32">
        <v>2300</v>
      </c>
      <c r="F13" s="32">
        <v>2200</v>
      </c>
      <c r="G13" s="7">
        <f>Table1710[[#This Row],[Nykyiset tiedot (PERUSTA)]]/Table1710[[#This Row],[Suunnitellut tiedot (SUUNNITELMA)]]</f>
        <v>1.0454545454545454</v>
      </c>
      <c r="H13" s="33">
        <v>2100</v>
      </c>
      <c r="I13" s="3">
        <f>Table1710[[#This Row],[Nykyiset tiedot (PERUSTA)]]/Table1710[[#This Row],[Todelliset tiedot (TOSIASIA)]]</f>
        <v>1.0952380952380953</v>
      </c>
      <c r="J13" s="29">
        <f>Table1710[[#This Row],[Suunnitellut tiedot (SUUNNITELMA)]]-Table1710[[#This Row],[Nykyiset tiedot (PERUSTA)]]</f>
        <v>-100</v>
      </c>
      <c r="K13" s="28">
        <f>Table1710[[#This Row],[Todelliset tiedot (TOSIASIA)]]-Table1710[[#This Row],[Nykyiset tiedot (PERUSTA)]]</f>
        <v>-200</v>
      </c>
      <c r="L13" s="3">
        <f>Table1710[[#This Row],[TOSIASIA-PERUSTA]]/Table1710[[#This Row],[SUUNNITELMA-PERUSTA]]</f>
        <v>2</v>
      </c>
      <c r="M13" s="39">
        <f>IF(Table1710[[#This Row],[SUUNNITELMA %]]&gt;Table1710[[#This Row],[TOSIASIA %]],0,Table1710[[#This Row],[KPI paino]]*Table1710[[#This Row],[% suunnitelman toteutumisesta]])</f>
        <v>0.3</v>
      </c>
    </row>
    <row r="14" spans="2:13" ht="18.75" x14ac:dyDescent="0.3">
      <c r="B14" s="1"/>
      <c r="C14" s="10"/>
      <c r="D14" s="2"/>
      <c r="E14" s="2"/>
      <c r="F14" s="2"/>
      <c r="G14" s="3"/>
      <c r="H14" s="4"/>
      <c r="I14" s="4"/>
      <c r="J14" s="4"/>
      <c r="K14" s="4"/>
      <c r="L14" s="3"/>
      <c r="M14" s="4"/>
    </row>
    <row r="15" spans="2:13" ht="18.75" x14ac:dyDescent="0.3">
      <c r="B15" s="2"/>
      <c r="C15" s="2" t="s">
        <v>24</v>
      </c>
      <c r="D15" s="2">
        <f>D13+D11+D9+D7+D5</f>
        <v>1</v>
      </c>
      <c r="E15" s="2"/>
      <c r="F15" s="2"/>
      <c r="G15" s="5"/>
      <c r="H15" s="22" t="s">
        <v>25</v>
      </c>
      <c r="I15" s="22"/>
      <c r="J15" s="22"/>
      <c r="K15" s="22"/>
      <c r="L15" s="5"/>
      <c r="M15" s="14">
        <f>M5+M7+M9+M11+M13</f>
        <v>1.3875</v>
      </c>
    </row>
    <row r="16" spans="2:13" ht="18.75" x14ac:dyDescent="0.3">
      <c r="B16" s="1"/>
      <c r="C16" s="1"/>
      <c r="D16" s="1"/>
      <c r="E16" s="1"/>
      <c r="F16" s="1"/>
      <c r="G16" s="3"/>
      <c r="H16" s="14" t="s">
        <v>29</v>
      </c>
      <c r="I16" s="14"/>
      <c r="J16" s="14"/>
      <c r="K16" s="18"/>
      <c r="L16" s="18"/>
      <c r="M16" s="6">
        <f>M15</f>
        <v>1.3875</v>
      </c>
    </row>
    <row r="17" spans="2:13" ht="18.75" x14ac:dyDescent="0.3">
      <c r="B17" s="1"/>
      <c r="C17" s="1"/>
      <c r="D17" s="1"/>
      <c r="E17" s="1"/>
      <c r="F17" s="1"/>
      <c r="G17" s="3"/>
      <c r="H17" s="23" t="s">
        <v>30</v>
      </c>
      <c r="I17" s="23"/>
      <c r="J17" s="23"/>
      <c r="K17" s="18"/>
      <c r="L17" s="18"/>
      <c r="M17" s="6">
        <f>M16-100%</f>
        <v>0.38749999999999996</v>
      </c>
    </row>
    <row r="18" spans="2:13" ht="18.75" x14ac:dyDescent="0.3">
      <c r="B18" s="1"/>
      <c r="C18" s="1"/>
      <c r="D18" s="1"/>
      <c r="E18" s="1"/>
      <c r="F18" s="1"/>
      <c r="G18" s="3"/>
      <c r="H18" s="20"/>
      <c r="I18" s="18"/>
      <c r="J18" s="21"/>
    </row>
    <row r="19" spans="2:13" x14ac:dyDescent="0.25">
      <c r="B19" s="16" t="s">
        <v>31</v>
      </c>
      <c r="C19" s="17" t="s">
        <v>55</v>
      </c>
      <c r="D19" s="17"/>
      <c r="E19" s="45"/>
      <c r="F19" s="45"/>
    </row>
    <row r="20" spans="2:13" x14ac:dyDescent="0.25">
      <c r="B20" s="30"/>
      <c r="C20" s="30" t="s">
        <v>56</v>
      </c>
      <c r="D20" s="17"/>
      <c r="E20" s="44"/>
      <c r="F20" s="44"/>
    </row>
    <row r="21" spans="2:13" x14ac:dyDescent="0.25">
      <c r="B21" s="44"/>
      <c r="C21" s="44"/>
      <c r="D21" s="45"/>
      <c r="E21" s="44"/>
      <c r="F21" s="44"/>
    </row>
    <row r="22" spans="2:13" x14ac:dyDescent="0.25">
      <c r="B22" s="44"/>
      <c r="C22" s="44"/>
      <c r="D22" s="45"/>
      <c r="E22" s="44"/>
      <c r="F22" s="44"/>
    </row>
    <row r="23" spans="2:13" ht="26.25" x14ac:dyDescent="0.4">
      <c r="C23" s="15" t="s">
        <v>40</v>
      </c>
    </row>
    <row r="25" spans="2:13" ht="33.75" customHeight="1" x14ac:dyDescent="0.25">
      <c r="B25" s="43" t="s">
        <v>41</v>
      </c>
      <c r="C25" s="43" t="s">
        <v>43</v>
      </c>
      <c r="D25" s="43" t="s">
        <v>45</v>
      </c>
      <c r="E25" s="42" t="s">
        <v>47</v>
      </c>
      <c r="F25" s="42" t="s">
        <v>30</v>
      </c>
      <c r="G25" s="42" t="s">
        <v>46</v>
      </c>
      <c r="H25" s="43" t="s">
        <v>48</v>
      </c>
    </row>
    <row r="26" spans="2:13" x14ac:dyDescent="0.25">
      <c r="D26" s="19"/>
      <c r="E26" s="19"/>
      <c r="F26" s="19"/>
      <c r="G26" s="19"/>
      <c r="H26" s="19"/>
    </row>
    <row r="27" spans="2:13" x14ac:dyDescent="0.25">
      <c r="D27" s="19"/>
      <c r="E27" s="19"/>
      <c r="F27" s="19"/>
      <c r="G27" s="19"/>
      <c r="H27" s="19"/>
    </row>
    <row r="28" spans="2:13" x14ac:dyDescent="0.25">
      <c r="B28" s="34" t="s">
        <v>42</v>
      </c>
      <c r="C28" s="35">
        <v>800</v>
      </c>
      <c r="D28" s="26">
        <f>IF(M16&gt;90%,1,IF(M16&gt;80%,0.9,IF(M16&gt;70%,0.8,IF(M16=70%,0.8,0))))</f>
        <v>1</v>
      </c>
      <c r="E28" s="19">
        <f>Table4811[[#This Row],[Palkka (kiinteä summa)]]*Table4811[[#This Row],[Palkkiokerroin]]</f>
        <v>800</v>
      </c>
      <c r="F28" s="25">
        <f t="shared" ref="F28" si="0">IF(M17&gt;0%,M17,0)</f>
        <v>0.38749999999999996</v>
      </c>
      <c r="G28" s="19">
        <f>Table4811[[#This Row],[Palkka (kiinteä summa)]]*Table4811[[#This Row],[% suunnitelman ylittäminen]]</f>
        <v>309.99999999999994</v>
      </c>
      <c r="H28" s="19">
        <f>Table4811[[#This Row],[Palkka (kiinteä summa)]]+Table4811[[#This Row],[Palkkio (riippuu suunnitelman toteutumisprosentista, %)]]+Table4811[[#This Row],[Bonukset (riippuu suunnitelman ylittämisestä, %)]]</f>
        <v>1910</v>
      </c>
    </row>
    <row r="29" spans="2:13" x14ac:dyDescent="0.25">
      <c r="D29" s="19"/>
      <c r="E29" s="19"/>
      <c r="F29" s="19"/>
      <c r="G29" s="19"/>
      <c r="H29" s="19"/>
    </row>
    <row r="31" spans="2:13" x14ac:dyDescent="0.25">
      <c r="C31" t="s">
        <v>18</v>
      </c>
      <c r="D31" t="s">
        <v>45</v>
      </c>
    </row>
    <row r="32" spans="2:13" x14ac:dyDescent="0.25">
      <c r="C32" s="36" t="s">
        <v>54</v>
      </c>
      <c r="D32" s="36">
        <v>0</v>
      </c>
    </row>
    <row r="33" spans="3:6" x14ac:dyDescent="0.25">
      <c r="C33" s="37" t="s">
        <v>6</v>
      </c>
      <c r="D33" s="37">
        <v>0.8</v>
      </c>
    </row>
    <row r="34" spans="3:6" x14ac:dyDescent="0.25">
      <c r="C34" s="37" t="s">
        <v>7</v>
      </c>
      <c r="D34" s="37">
        <v>0.9</v>
      </c>
    </row>
    <row r="35" spans="3:6" x14ac:dyDescent="0.25">
      <c r="C35" s="37" t="s">
        <v>8</v>
      </c>
      <c r="D35" s="37">
        <v>1</v>
      </c>
      <c r="F35" s="24"/>
    </row>
    <row r="36" spans="3:6" x14ac:dyDescent="0.25">
      <c r="F36" s="24"/>
    </row>
  </sheetData>
  <sheetProtection algorithmName="SHA-512" hashValue="aa9SKnol0YfPSs7JdMP6ZguaQH5CAnwiRGCY1B8pQHH5BfL6GAPvX/l2BimXEGhLzB+BvN1DnOnRN/LcqVmb5w==" saltValue="XqjeJKsS6T8E894dAHMgRQ==" spinCount="100000" sheet="1" formatCells="0" formatColumns="0" formatRows="0" sort="0" autoFilter="0" pivotTables="0"/>
  <conditionalFormatting sqref="M17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M17">
    <cfRule type="iconSet" priority="27">
      <iconSet iconSet="3Arrows">
        <cfvo type="percent" val="0"/>
        <cfvo type="num" val="-100"/>
        <cfvo type="num" val="0"/>
      </iconSet>
    </cfRule>
    <cfRule type="iconSet" priority="28">
      <iconSet iconSet="3Arrows">
        <cfvo type="percent" val="0"/>
        <cfvo type="percent" val="0"/>
        <cfvo type="percent" val="1"/>
      </iconSet>
    </cfRule>
  </conditionalFormatting>
  <conditionalFormatting sqref="M16">
    <cfRule type="iconSet" priority="29">
      <iconSet iconSet="4Arrows">
        <cfvo type="percent" val="0"/>
        <cfvo type="num" val="0.71"/>
        <cfvo type="num" val="0.81"/>
        <cfvo type="num" val="0.91"/>
      </iconSet>
    </cfRule>
    <cfRule type="iconSet" priority="30">
      <iconSet iconSet="4Arrows">
        <cfvo type="percent" val="0"/>
        <cfvo type="num" val="0.7"/>
        <cfvo type="percent" val="0.8"/>
        <cfvo type="num" val="0.9"/>
      </iconSet>
    </cfRule>
    <cfRule type="iconSet" priority="31">
      <iconSet iconSet="4Arrows">
        <cfvo type="percent" val="0"/>
        <cfvo type="num" val="80"/>
        <cfvo type="num" val="90"/>
        <cfvo type="num" val="100"/>
      </iconSet>
    </cfRule>
    <cfRule type="iconSet" priority="32">
      <iconSet iconSet="4Arrows">
        <cfvo type="percent" val="0"/>
        <cfvo type="percent" val="70"/>
        <cfvo type="percent" val="80"/>
        <cfvo type="percent" val="90"/>
      </iconSet>
    </cfRule>
    <cfRule type="iconSet" priority="33">
      <iconSet iconSet="4Arrows">
        <cfvo type="percent" val="0"/>
        <cfvo type="num" val="70"/>
        <cfvo type="num" val="80"/>
        <cfvo type="num" val="90"/>
      </iconSet>
    </cfRule>
    <cfRule type="iconSet" priority="34">
      <iconSet iconSet="4Arrows">
        <cfvo type="percent" val="0"/>
        <cfvo type="percent" val="70"/>
        <cfvo type="percent" val="80"/>
        <cfvo type="percent" val="90"/>
      </iconSet>
    </cfRule>
    <cfRule type="iconSet" priority="35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" id="{7398964E-E6DE-479C-8164-B23C7980D124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M17</xm:sqref>
        </x14:conditionalFormatting>
        <x14:conditionalFormatting xmlns:xm="http://schemas.microsoft.com/office/excel/2006/main">
          <x14:cfRule type="iconSet" priority="26" id="{56D0E586-A9A1-4D93-AB8A-42735DC18640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variantti 1</vt:lpstr>
      <vt:lpstr>variantti 2</vt:lpstr>
      <vt:lpstr>variantti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2020-07-21T13:07:46Z</dcterms:created>
  <dcterms:modified xsi:type="dcterms:W3CDTF">2020-07-28T13:34:18Z</dcterms:modified>
</cp:coreProperties>
</file>